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75" yWindow="3585" windowWidth="15345" windowHeight="4680" tabRatio="529"/>
  </bookViews>
  <sheets>
    <sheet name="LISTA STARTOWA 09" sheetId="12" r:id="rId1"/>
    <sheet name="wyniki oficjalne" sheetId="10" r:id="rId2"/>
    <sheet name="Po komasacji" sheetId="13" r:id="rId3"/>
    <sheet name="Generalka" sheetId="16" r:id="rId4"/>
  </sheets>
  <definedNames>
    <definedName name="_xlnm._FilterDatabase" localSheetId="3" hidden="1">Generalka!$A$5:$S$52</definedName>
    <definedName name="_xlnm._FilterDatabase" localSheetId="0" hidden="1">'LISTA STARTOWA 09'!$A$5:$H$48</definedName>
    <definedName name="_xlnm._FilterDatabase" localSheetId="1" hidden="1">'wyniki oficjalne'!$A$5:$S$52</definedName>
    <definedName name="_xlnm.Print_Area" localSheetId="3">Generalka!$A$1:$S$51</definedName>
    <definedName name="_xlnm.Print_Area" localSheetId="0">'LISTA STARTOWA 09'!$A$1:$H$48</definedName>
    <definedName name="_xlnm.Print_Area" localSheetId="1">'wyniki oficjalne'!$A$1:$S$51</definedName>
  </definedNames>
  <calcPr calcId="124519"/>
</workbook>
</file>

<file path=xl/calcChain.xml><?xml version="1.0" encoding="utf-8"?>
<calcChain xmlns="http://schemas.openxmlformats.org/spreadsheetml/2006/main">
  <c r="P62" i="16"/>
  <c r="O62"/>
  <c r="M62"/>
  <c r="I62"/>
  <c r="P60"/>
  <c r="O60"/>
  <c r="M60"/>
  <c r="J60"/>
  <c r="I60"/>
  <c r="M58"/>
  <c r="L58"/>
  <c r="J58"/>
  <c r="P56"/>
  <c r="O56"/>
  <c r="M56"/>
  <c r="L56"/>
  <c r="J56"/>
  <c r="I56"/>
  <c r="P54"/>
  <c r="M54"/>
  <c r="L54"/>
  <c r="J54"/>
  <c r="I54"/>
  <c r="O52"/>
  <c r="M52"/>
  <c r="L52"/>
  <c r="K52"/>
  <c r="J52"/>
  <c r="I52"/>
  <c r="H45"/>
  <c r="G45"/>
  <c r="F45"/>
  <c r="E45"/>
  <c r="D45"/>
  <c r="C45"/>
  <c r="B45"/>
  <c r="H44"/>
  <c r="G44"/>
  <c r="F44"/>
  <c r="E44"/>
  <c r="D44"/>
  <c r="C44"/>
  <c r="B44"/>
  <c r="L43"/>
  <c r="L62" s="1"/>
  <c r="H43"/>
  <c r="G43"/>
  <c r="F43"/>
  <c r="E43"/>
  <c r="D43"/>
  <c r="C43"/>
  <c r="B43"/>
  <c r="R39"/>
  <c r="G39"/>
  <c r="F39"/>
  <c r="E39"/>
  <c r="D39"/>
  <c r="C39"/>
  <c r="B39"/>
  <c r="H35"/>
  <c r="R35" s="1"/>
  <c r="G35"/>
  <c r="F35"/>
  <c r="E35"/>
  <c r="D35"/>
  <c r="C35"/>
  <c r="B35"/>
  <c r="H34"/>
  <c r="R34" s="1"/>
  <c r="G34"/>
  <c r="F34"/>
  <c r="E34"/>
  <c r="D34"/>
  <c r="C34"/>
  <c r="B34"/>
  <c r="H31"/>
  <c r="R31" s="1"/>
  <c r="G31"/>
  <c r="F31"/>
  <c r="E31"/>
  <c r="D31"/>
  <c r="C31"/>
  <c r="B31"/>
  <c r="K30"/>
  <c r="K62" s="1"/>
  <c r="G30"/>
  <c r="F30"/>
  <c r="E30"/>
  <c r="D30"/>
  <c r="C30"/>
  <c r="B30"/>
  <c r="R29"/>
  <c r="G29"/>
  <c r="F29"/>
  <c r="E29"/>
  <c r="D29"/>
  <c r="C29"/>
  <c r="B29"/>
  <c r="R28"/>
  <c r="G28"/>
  <c r="F28"/>
  <c r="E28"/>
  <c r="D28"/>
  <c r="C28"/>
  <c r="B28"/>
  <c r="R25"/>
  <c r="G25"/>
  <c r="F25"/>
  <c r="E25"/>
  <c r="D25"/>
  <c r="C25"/>
  <c r="B25"/>
  <c r="N20"/>
  <c r="N62" s="1"/>
  <c r="J20"/>
  <c r="J62" s="1"/>
  <c r="G20"/>
  <c r="F20"/>
  <c r="E20"/>
  <c r="D20"/>
  <c r="C20"/>
  <c r="B20"/>
  <c r="R17"/>
  <c r="G17"/>
  <c r="F17"/>
  <c r="E17"/>
  <c r="D17"/>
  <c r="C17"/>
  <c r="B17"/>
  <c r="N36"/>
  <c r="K36"/>
  <c r="R36" s="1"/>
  <c r="H36"/>
  <c r="G36"/>
  <c r="F36"/>
  <c r="E36"/>
  <c r="D36"/>
  <c r="C36"/>
  <c r="B36"/>
  <c r="R27"/>
  <c r="G27"/>
  <c r="F27"/>
  <c r="E27"/>
  <c r="D27"/>
  <c r="C27"/>
  <c r="B27"/>
  <c r="N26"/>
  <c r="N60" s="1"/>
  <c r="L26"/>
  <c r="L60" s="1"/>
  <c r="K26"/>
  <c r="K60" s="1"/>
  <c r="H26"/>
  <c r="R26" s="1"/>
  <c r="G26"/>
  <c r="F26"/>
  <c r="E26"/>
  <c r="D26"/>
  <c r="C26"/>
  <c r="B26"/>
  <c r="R23"/>
  <c r="G23"/>
  <c r="F23"/>
  <c r="E23"/>
  <c r="D23"/>
  <c r="C23"/>
  <c r="B23"/>
  <c r="H21"/>
  <c r="H60" s="1"/>
  <c r="G21"/>
  <c r="F21"/>
  <c r="E21"/>
  <c r="D21"/>
  <c r="C21"/>
  <c r="B21"/>
  <c r="I42"/>
  <c r="I58" s="1"/>
  <c r="H42"/>
  <c r="G42"/>
  <c r="F42"/>
  <c r="E42"/>
  <c r="D42"/>
  <c r="C42"/>
  <c r="B42"/>
  <c r="Q37"/>
  <c r="N37"/>
  <c r="H37"/>
  <c r="G37"/>
  <c r="F37"/>
  <c r="E37"/>
  <c r="D37"/>
  <c r="C37"/>
  <c r="B37"/>
  <c r="O33"/>
  <c r="O58" s="1"/>
  <c r="K33"/>
  <c r="H33"/>
  <c r="G33"/>
  <c r="F33"/>
  <c r="E33"/>
  <c r="D33"/>
  <c r="C33"/>
  <c r="B33"/>
  <c r="K24"/>
  <c r="K58" s="1"/>
  <c r="G24"/>
  <c r="F24"/>
  <c r="E24"/>
  <c r="D24"/>
  <c r="C24"/>
  <c r="B24"/>
  <c r="P14"/>
  <c r="P58" s="1"/>
  <c r="H14"/>
  <c r="R14" s="1"/>
  <c r="G14"/>
  <c r="F14"/>
  <c r="E14"/>
  <c r="D14"/>
  <c r="C14"/>
  <c r="B14"/>
  <c r="N13"/>
  <c r="N58" s="1"/>
  <c r="G13"/>
  <c r="F13"/>
  <c r="E13"/>
  <c r="D13"/>
  <c r="C13"/>
  <c r="B13"/>
  <c r="R9"/>
  <c r="G9"/>
  <c r="F9"/>
  <c r="E9"/>
  <c r="D9"/>
  <c r="C9"/>
  <c r="B9"/>
  <c r="R8"/>
  <c r="G8"/>
  <c r="F8"/>
  <c r="E8"/>
  <c r="D8"/>
  <c r="C8"/>
  <c r="B8"/>
  <c r="H38"/>
  <c r="R38" s="1"/>
  <c r="G38"/>
  <c r="F38"/>
  <c r="E38"/>
  <c r="D38"/>
  <c r="C38"/>
  <c r="B38"/>
  <c r="H32"/>
  <c r="R32" s="1"/>
  <c r="G32"/>
  <c r="F32"/>
  <c r="E32"/>
  <c r="D32"/>
  <c r="C32"/>
  <c r="B32"/>
  <c r="R22"/>
  <c r="G22"/>
  <c r="F22"/>
  <c r="E22"/>
  <c r="D22"/>
  <c r="C22"/>
  <c r="B22"/>
  <c r="N19"/>
  <c r="H19"/>
  <c r="R19" s="1"/>
  <c r="G19"/>
  <c r="F19"/>
  <c r="E19"/>
  <c r="D19"/>
  <c r="C19"/>
  <c r="B19"/>
  <c r="R18"/>
  <c r="G18"/>
  <c r="F18"/>
  <c r="E18"/>
  <c r="D18"/>
  <c r="C18"/>
  <c r="B18"/>
  <c r="N15"/>
  <c r="R15" s="1"/>
  <c r="G15"/>
  <c r="F15"/>
  <c r="E15"/>
  <c r="D15"/>
  <c r="C15"/>
  <c r="B15"/>
  <c r="K12"/>
  <c r="H12"/>
  <c r="H56" s="1"/>
  <c r="G12"/>
  <c r="F12"/>
  <c r="E12"/>
  <c r="D12"/>
  <c r="C12"/>
  <c r="B12"/>
  <c r="N11"/>
  <c r="N56" s="1"/>
  <c r="G11"/>
  <c r="F11"/>
  <c r="E11"/>
  <c r="D11"/>
  <c r="C11"/>
  <c r="B11"/>
  <c r="K10"/>
  <c r="K56" s="1"/>
  <c r="G10"/>
  <c r="F10"/>
  <c r="E10"/>
  <c r="D10"/>
  <c r="C10"/>
  <c r="B10"/>
  <c r="G41"/>
  <c r="F41"/>
  <c r="E41"/>
  <c r="D41"/>
  <c r="C41"/>
  <c r="B41"/>
  <c r="Q40"/>
  <c r="K40"/>
  <c r="K54" s="1"/>
  <c r="H40"/>
  <c r="H54" s="1"/>
  <c r="G40"/>
  <c r="F40"/>
  <c r="E40"/>
  <c r="D40"/>
  <c r="C40"/>
  <c r="B40"/>
  <c r="N16"/>
  <c r="R16" s="1"/>
  <c r="G16"/>
  <c r="F16"/>
  <c r="E16"/>
  <c r="D16"/>
  <c r="C16"/>
  <c r="B16"/>
  <c r="O7"/>
  <c r="O54" s="1"/>
  <c r="G7"/>
  <c r="F7"/>
  <c r="E7"/>
  <c r="D7"/>
  <c r="C7"/>
  <c r="B7"/>
  <c r="R6"/>
  <c r="G6"/>
  <c r="F6"/>
  <c r="E6"/>
  <c r="D6"/>
  <c r="C6"/>
  <c r="B6"/>
  <c r="P52"/>
  <c r="H52"/>
  <c r="N52"/>
  <c r="R10" l="1"/>
  <c r="R11"/>
  <c r="R37"/>
  <c r="R13"/>
  <c r="R33"/>
  <c r="R20"/>
  <c r="H46"/>
  <c r="J46"/>
  <c r="N54"/>
  <c r="H58"/>
  <c r="H62"/>
  <c r="R7"/>
  <c r="R12"/>
  <c r="R24"/>
  <c r="R21"/>
  <c r="R30"/>
  <c r="I46"/>
  <c r="P26" i="10"/>
  <c r="P8"/>
  <c r="O10"/>
  <c r="R10" s="1"/>
  <c r="O28"/>
  <c r="N35"/>
  <c r="N63" s="1"/>
  <c r="N29"/>
  <c r="N25"/>
  <c r="N61" s="1"/>
  <c r="N17"/>
  <c r="N11"/>
  <c r="N57" s="1"/>
  <c r="N6"/>
  <c r="N37"/>
  <c r="N65" s="1"/>
  <c r="N33"/>
  <c r="N15"/>
  <c r="N59" s="1"/>
  <c r="N19"/>
  <c r="K12"/>
  <c r="K33"/>
  <c r="K27"/>
  <c r="K28"/>
  <c r="K16"/>
  <c r="K14"/>
  <c r="K41"/>
  <c r="K35"/>
  <c r="L46"/>
  <c r="L33"/>
  <c r="L63" s="1"/>
  <c r="J37"/>
  <c r="H42"/>
  <c r="R42" s="1"/>
  <c r="H31"/>
  <c r="H33"/>
  <c r="H63" s="1"/>
  <c r="H22"/>
  <c r="H21"/>
  <c r="H59" s="1"/>
  <c r="H8"/>
  <c r="H46"/>
  <c r="H48"/>
  <c r="H47"/>
  <c r="H43"/>
  <c r="H35"/>
  <c r="R35" s="1"/>
  <c r="H16"/>
  <c r="H44"/>
  <c r="R44" s="1"/>
  <c r="H28"/>
  <c r="H30"/>
  <c r="H29"/>
  <c r="H26"/>
  <c r="H19"/>
  <c r="H12"/>
  <c r="Q29"/>
  <c r="Q12"/>
  <c r="I30"/>
  <c r="I52"/>
  <c r="I49" s="1"/>
  <c r="J52"/>
  <c r="J49" s="1"/>
  <c r="H52"/>
  <c r="H49" s="1"/>
  <c r="B6" i="13"/>
  <c r="I55" i="10"/>
  <c r="J55"/>
  <c r="K55"/>
  <c r="L55"/>
  <c r="M55"/>
  <c r="N55"/>
  <c r="O55"/>
  <c r="P55"/>
  <c r="I57"/>
  <c r="J57"/>
  <c r="K57"/>
  <c r="L57"/>
  <c r="M57"/>
  <c r="O57"/>
  <c r="P57"/>
  <c r="I59"/>
  <c r="J59"/>
  <c r="K59"/>
  <c r="L59"/>
  <c r="M59"/>
  <c r="O59"/>
  <c r="P59"/>
  <c r="I61"/>
  <c r="J61"/>
  <c r="K61"/>
  <c r="L61"/>
  <c r="M61"/>
  <c r="O61"/>
  <c r="P61"/>
  <c r="I63"/>
  <c r="J63"/>
  <c r="K63"/>
  <c r="M63"/>
  <c r="O63"/>
  <c r="P63"/>
  <c r="I65"/>
  <c r="J65"/>
  <c r="K65"/>
  <c r="L65"/>
  <c r="M65"/>
  <c r="O65"/>
  <c r="P65"/>
  <c r="H65"/>
  <c r="H61"/>
  <c r="H57"/>
  <c r="H55"/>
  <c r="B14" i="13"/>
  <c r="N43"/>
  <c r="N44"/>
  <c r="I42"/>
  <c r="I43"/>
  <c r="I44" s="1"/>
  <c r="D10"/>
  <c r="D6"/>
  <c r="N2"/>
  <c r="R11" i="10"/>
  <c r="R39"/>
  <c r="R45"/>
  <c r="R38"/>
  <c r="R37"/>
  <c r="R41"/>
  <c r="R40"/>
  <c r="R36"/>
  <c r="R43"/>
  <c r="R31"/>
  <c r="R33"/>
  <c r="R32"/>
  <c r="R27"/>
  <c r="R28"/>
  <c r="R29"/>
  <c r="R25"/>
  <c r="R23"/>
  <c r="R26"/>
  <c r="R24"/>
  <c r="R20"/>
  <c r="R16"/>
  <c r="R17"/>
  <c r="R22"/>
  <c r="R15"/>
  <c r="R19"/>
  <c r="R14"/>
  <c r="R18"/>
  <c r="R21"/>
  <c r="R9"/>
  <c r="R6"/>
  <c r="R7"/>
  <c r="R8"/>
  <c r="R34"/>
  <c r="B7"/>
  <c r="C7"/>
  <c r="D7"/>
  <c r="E7"/>
  <c r="F7"/>
  <c r="G7"/>
  <c r="B6"/>
  <c r="C6"/>
  <c r="D6"/>
  <c r="E6"/>
  <c r="F6"/>
  <c r="G6"/>
  <c r="B9"/>
  <c r="C9"/>
  <c r="D9"/>
  <c r="E9"/>
  <c r="F9"/>
  <c r="G9"/>
  <c r="B11"/>
  <c r="C11"/>
  <c r="D11"/>
  <c r="E11"/>
  <c r="F11"/>
  <c r="G11"/>
  <c r="B13"/>
  <c r="C13"/>
  <c r="D13"/>
  <c r="E13"/>
  <c r="F13"/>
  <c r="G13"/>
  <c r="B10"/>
  <c r="C10"/>
  <c r="D10"/>
  <c r="E10"/>
  <c r="F10"/>
  <c r="G10"/>
  <c r="B12"/>
  <c r="C12"/>
  <c r="D12"/>
  <c r="E12"/>
  <c r="F12"/>
  <c r="G12"/>
  <c r="B21"/>
  <c r="C21"/>
  <c r="D21"/>
  <c r="E21"/>
  <c r="F21"/>
  <c r="G21"/>
  <c r="B18"/>
  <c r="C18"/>
  <c r="D18"/>
  <c r="E18"/>
  <c r="F18"/>
  <c r="G18"/>
  <c r="B14"/>
  <c r="C14"/>
  <c r="D14"/>
  <c r="E14"/>
  <c r="F14"/>
  <c r="G14"/>
  <c r="B19"/>
  <c r="C19"/>
  <c r="D19"/>
  <c r="E19"/>
  <c r="F19"/>
  <c r="G19"/>
  <c r="B15"/>
  <c r="C15"/>
  <c r="D15"/>
  <c r="E15"/>
  <c r="F15"/>
  <c r="G15"/>
  <c r="B22"/>
  <c r="C22"/>
  <c r="D22"/>
  <c r="E22"/>
  <c r="F22"/>
  <c r="G22"/>
  <c r="B17"/>
  <c r="C17"/>
  <c r="D17"/>
  <c r="E17"/>
  <c r="F17"/>
  <c r="G17"/>
  <c r="B16"/>
  <c r="C16"/>
  <c r="D16"/>
  <c r="E16"/>
  <c r="F16"/>
  <c r="G16"/>
  <c r="B20"/>
  <c r="C20"/>
  <c r="D20"/>
  <c r="E20"/>
  <c r="F20"/>
  <c r="G20"/>
  <c r="B24"/>
  <c r="C24"/>
  <c r="D24"/>
  <c r="E24"/>
  <c r="F24"/>
  <c r="G24"/>
  <c r="B26"/>
  <c r="C26"/>
  <c r="D26"/>
  <c r="E26"/>
  <c r="F26"/>
  <c r="G26"/>
  <c r="B23"/>
  <c r="C23"/>
  <c r="D23"/>
  <c r="E23"/>
  <c r="F23"/>
  <c r="G23"/>
  <c r="B25"/>
  <c r="C25"/>
  <c r="D25"/>
  <c r="E25"/>
  <c r="F25"/>
  <c r="G25"/>
  <c r="B29"/>
  <c r="C29"/>
  <c r="D29"/>
  <c r="E29"/>
  <c r="F29"/>
  <c r="G29"/>
  <c r="B30"/>
  <c r="C30"/>
  <c r="D30"/>
  <c r="E30"/>
  <c r="F30"/>
  <c r="G30"/>
  <c r="B28"/>
  <c r="C28"/>
  <c r="D28"/>
  <c r="E28"/>
  <c r="F28"/>
  <c r="G28"/>
  <c r="B27"/>
  <c r="C27"/>
  <c r="D27"/>
  <c r="E27"/>
  <c r="F27"/>
  <c r="G27"/>
  <c r="B32"/>
  <c r="C32"/>
  <c r="D32"/>
  <c r="E32"/>
  <c r="F32"/>
  <c r="G32"/>
  <c r="B35"/>
  <c r="C35"/>
  <c r="D35"/>
  <c r="E35"/>
  <c r="F35"/>
  <c r="G35"/>
  <c r="B34"/>
  <c r="C34"/>
  <c r="D34"/>
  <c r="E34"/>
  <c r="F34"/>
  <c r="G34"/>
  <c r="B33"/>
  <c r="C33"/>
  <c r="D33"/>
  <c r="E33"/>
  <c r="F33"/>
  <c r="G33"/>
  <c r="B31"/>
  <c r="C31"/>
  <c r="D31"/>
  <c r="E31"/>
  <c r="F31"/>
  <c r="G31"/>
  <c r="B43"/>
  <c r="C43"/>
  <c r="D43"/>
  <c r="E43"/>
  <c r="F43"/>
  <c r="G43"/>
  <c r="B36"/>
  <c r="C36"/>
  <c r="D36"/>
  <c r="E36"/>
  <c r="F36"/>
  <c r="G36"/>
  <c r="B40"/>
  <c r="C40"/>
  <c r="D40"/>
  <c r="E40"/>
  <c r="F40"/>
  <c r="G40"/>
  <c r="B41"/>
  <c r="C41"/>
  <c r="D41"/>
  <c r="E41"/>
  <c r="F41"/>
  <c r="G41"/>
  <c r="B37"/>
  <c r="C37"/>
  <c r="D37"/>
  <c r="E37"/>
  <c r="F37"/>
  <c r="G37"/>
  <c r="B44"/>
  <c r="C44"/>
  <c r="D44"/>
  <c r="E44"/>
  <c r="F44"/>
  <c r="G44"/>
  <c r="B46"/>
  <c r="C46"/>
  <c r="D46"/>
  <c r="E46"/>
  <c r="F46"/>
  <c r="G46"/>
  <c r="B47"/>
  <c r="C47"/>
  <c r="D47"/>
  <c r="E47"/>
  <c r="F47"/>
  <c r="G47"/>
  <c r="B38"/>
  <c r="C38"/>
  <c r="D38"/>
  <c r="E38"/>
  <c r="F38"/>
  <c r="G38"/>
  <c r="B45"/>
  <c r="C45"/>
  <c r="D45"/>
  <c r="E45"/>
  <c r="F45"/>
  <c r="G45"/>
  <c r="B48"/>
  <c r="C48"/>
  <c r="D48"/>
  <c r="E48"/>
  <c r="F48"/>
  <c r="G48"/>
  <c r="B39"/>
  <c r="C39"/>
  <c r="D39"/>
  <c r="E39"/>
  <c r="F39"/>
  <c r="G39"/>
  <c r="B42"/>
  <c r="C42"/>
  <c r="D42"/>
  <c r="E42"/>
  <c r="F42"/>
  <c r="G42"/>
  <c r="G8"/>
  <c r="F8"/>
  <c r="E8"/>
  <c r="D8"/>
  <c r="C8"/>
  <c r="B8"/>
  <c r="B2" i="13"/>
  <c r="H7" i="12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B10" i="13"/>
  <c r="B7"/>
  <c r="D7" s="1"/>
  <c r="B11" s="1"/>
  <c r="D11" s="1"/>
  <c r="B15" s="1"/>
  <c r="I2" l="1"/>
  <c r="I3" s="1"/>
  <c r="I4" s="1"/>
  <c r="I5" s="1"/>
  <c r="I6" s="1"/>
  <c r="I7" s="1"/>
  <c r="I8" s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N3"/>
  <c r="N4" s="1"/>
  <c r="N5" s="1"/>
  <c r="N6" s="1"/>
  <c r="N7" s="1"/>
  <c r="N8" s="1"/>
  <c r="N9" s="1"/>
  <c r="N10" s="1"/>
  <c r="N11" s="1"/>
  <c r="N12" s="1"/>
  <c r="N13" s="1"/>
  <c r="N14" s="1"/>
  <c r="N15" s="1"/>
  <c r="N16" s="1"/>
  <c r="N17" s="1"/>
  <c r="N18" s="1"/>
  <c r="N19" s="1"/>
  <c r="N20" s="1"/>
  <c r="N21" s="1"/>
  <c r="N22" s="1"/>
  <c r="N23" s="1"/>
  <c r="N24" s="1"/>
  <c r="N25" s="1"/>
  <c r="N26" s="1"/>
  <c r="N27" s="1"/>
  <c r="N28" s="1"/>
  <c r="N29" s="1"/>
  <c r="N30" s="1"/>
  <c r="N31" s="1"/>
  <c r="N32" s="1"/>
  <c r="N33" s="1"/>
  <c r="N34" s="1"/>
  <c r="N35" s="1"/>
  <c r="N36" s="1"/>
  <c r="N37" s="1"/>
  <c r="N38" s="1"/>
  <c r="N39" s="1"/>
  <c r="N40" s="1"/>
  <c r="N41" s="1"/>
  <c r="N42" s="1"/>
</calcChain>
</file>

<file path=xl/sharedStrings.xml><?xml version="1.0" encoding="utf-8"?>
<sst xmlns="http://schemas.openxmlformats.org/spreadsheetml/2006/main" count="428" uniqueCount="154">
  <si>
    <t>Marka</t>
  </si>
  <si>
    <t>SUMA</t>
  </si>
  <si>
    <t>Sz-1</t>
  </si>
  <si>
    <t>Sz-2</t>
  </si>
  <si>
    <t>Sz-3</t>
  </si>
  <si>
    <t>Sz-4</t>
  </si>
  <si>
    <t>Sz-5</t>
  </si>
  <si>
    <t>Sz-6</t>
  </si>
  <si>
    <t>Sz-7</t>
  </si>
  <si>
    <t>Sz-8</t>
  </si>
  <si>
    <t>Sz-9</t>
  </si>
  <si>
    <t>&lt;2000</t>
  </si>
  <si>
    <t>&lt;1600</t>
  </si>
  <si>
    <t>GOŚĆ</t>
  </si>
  <si>
    <t>&lt;1400</t>
  </si>
  <si>
    <t>Konkursowa Jazda Samochodem</t>
  </si>
  <si>
    <t>Organiazator:</t>
  </si>
  <si>
    <t>Automobilklub Mielecki</t>
  </si>
  <si>
    <t>Nazwisko i Imię</t>
  </si>
  <si>
    <t>Nr
start</t>
  </si>
  <si>
    <t>Klasa / Grupa</t>
  </si>
  <si>
    <t>Klub</t>
  </si>
  <si>
    <t>Miejsce</t>
  </si>
  <si>
    <t xml:space="preserve"> - taryfa</t>
  </si>
  <si>
    <t xml:space="preserve"> - błędy</t>
  </si>
  <si>
    <t>K 4</t>
  </si>
  <si>
    <t>Mitsubishi Lancer</t>
  </si>
  <si>
    <t>Subaru Impreza</t>
  </si>
  <si>
    <t>Renault Clio</t>
  </si>
  <si>
    <t>Opel Astra GSI</t>
  </si>
  <si>
    <t>Peugeot 106</t>
  </si>
  <si>
    <t>K 2</t>
  </si>
  <si>
    <t>K 3</t>
  </si>
  <si>
    <t>K 1</t>
  </si>
  <si>
    <t>Klasyfikacja w Klasach</t>
  </si>
  <si>
    <t>AK Biecki</t>
  </si>
  <si>
    <t xml:space="preserve"> </t>
  </si>
  <si>
    <t>SO</t>
  </si>
  <si>
    <t>AK Stalowa Wola</t>
  </si>
  <si>
    <t>AK Stomil Dębica</t>
  </si>
  <si>
    <t>A Mielecki</t>
  </si>
  <si>
    <t>Honda CIVIC</t>
  </si>
  <si>
    <t>AK Kielecki</t>
  </si>
  <si>
    <t>VW Golf</t>
  </si>
  <si>
    <t>CZAS STARTU</t>
  </si>
  <si>
    <t>LISTA STARTOWA</t>
  </si>
  <si>
    <t>Dunaj Ryszard
Dunaj Kinga</t>
  </si>
  <si>
    <t>Niemiec Jerzy
Saganowski Tomasz</t>
  </si>
  <si>
    <t>Zieliński Mariusz
Chlebowski Ryszard</t>
  </si>
  <si>
    <t>Ważny Grzegorz
Czekaj Mateusz</t>
  </si>
  <si>
    <t>k1</t>
  </si>
  <si>
    <t>k2</t>
  </si>
  <si>
    <t>k3</t>
  </si>
  <si>
    <t>k4</t>
  </si>
  <si>
    <t>gość</t>
  </si>
  <si>
    <t>przyjazd 1 załogi</t>
  </si>
  <si>
    <t>ilość załóg</t>
  </si>
  <si>
    <t>star co</t>
  </si>
  <si>
    <t>start pierwszy</t>
  </si>
  <si>
    <t>star ostatni</t>
  </si>
  <si>
    <t>wyjazd 1 załogi</t>
  </si>
  <si>
    <t>zakończenie:</t>
  </si>
  <si>
    <t>przyjazd ostatni</t>
  </si>
  <si>
    <t>wyjazd ostatni</t>
  </si>
  <si>
    <t>1 i 2 pętla</t>
  </si>
  <si>
    <t>komasacja</t>
  </si>
  <si>
    <t>NK</t>
  </si>
  <si>
    <t>NR ZAŁOGI</t>
  </si>
  <si>
    <t>CZAS WJAZDU</t>
  </si>
  <si>
    <t>Gość</t>
  </si>
  <si>
    <t>&gt;2000</t>
  </si>
  <si>
    <t>BMW 330</t>
  </si>
  <si>
    <t>BMW 318 TI</t>
  </si>
  <si>
    <t>Honda CRX</t>
  </si>
  <si>
    <t>AK Chełmski</t>
  </si>
  <si>
    <t>Renault Clio Sport</t>
  </si>
  <si>
    <t>AMK Małopolski</t>
  </si>
  <si>
    <t>niezrzeszony</t>
  </si>
  <si>
    <t>AK Biłgoraj</t>
  </si>
  <si>
    <t>Suzuki Swift</t>
  </si>
  <si>
    <t>FF S.C.</t>
  </si>
  <si>
    <t>FF C.C.</t>
  </si>
  <si>
    <t>Kudłacz Piotr
Szerszeń Rafał</t>
  </si>
  <si>
    <t>Leśniak Sebastian
Tomecki Krzysztof</t>
  </si>
  <si>
    <t>Biały Paweł
Biały Tomasz</t>
  </si>
  <si>
    <t>Krasowski Łukasz
Bukała Mateusz</t>
  </si>
  <si>
    <t>Pawlik Grzegorz
Sykut Konrad</t>
  </si>
  <si>
    <t>Pomprowicz Przemysław
Sokołowski Daniel</t>
  </si>
  <si>
    <t>Skroban Marcin
Wagner Jakub</t>
  </si>
  <si>
    <t>Wiszyński Arkadiusz
Bodniak Mateusz</t>
  </si>
  <si>
    <t>Marciniec Wojciech
Marciniec Marcin</t>
  </si>
  <si>
    <t>Dubanik Mariusz
Dubanik Grzegorz</t>
  </si>
  <si>
    <t>Bogusławski Aleksander
Rusinek Tomasz</t>
  </si>
  <si>
    <t>Przywara Dominik
Piekarska Aleksandra</t>
  </si>
  <si>
    <t>Wronkowicz Jacek
Orliński Wiesław</t>
  </si>
  <si>
    <t>K Fiat</t>
  </si>
  <si>
    <t>fiat</t>
  </si>
  <si>
    <t>DO DRUGIEJ PĘTLI:</t>
  </si>
  <si>
    <t>DO OSTATNIEJ PĘTLI:</t>
  </si>
  <si>
    <t>Dyrektor Mateusz Machnik</t>
  </si>
  <si>
    <t>Przewodniczący ZSS Tadeusz Dubel</t>
  </si>
  <si>
    <t>-czas nadany</t>
  </si>
  <si>
    <t>Mielec, 11 września 2016 r.</t>
  </si>
  <si>
    <t>Szalacha Patryk
Banaś Maciej</t>
  </si>
  <si>
    <t>Michałek Andrzej
Michałek Magdalena</t>
  </si>
  <si>
    <t>Forkiewicz Adam
Sulisz Jan</t>
  </si>
  <si>
    <t>Pypeć Przemysław
Chrabąszcz Mateusz</t>
  </si>
  <si>
    <t>Jabłoński Piotr
Wcześny Grzegorz</t>
  </si>
  <si>
    <t>Fudali Hubert
Rodzeń Krystian</t>
  </si>
  <si>
    <t>Kędzior Wojciech
Trznadel Mateusz</t>
  </si>
  <si>
    <t>Mądry Radosław
Dul Piotr</t>
  </si>
  <si>
    <t>Piejko Wojciech
Mroszczyk Adrian</t>
  </si>
  <si>
    <t>Przybyło Krzysztof
Kisała Karolina</t>
  </si>
  <si>
    <t>Wilusz Marcin
Kubit Gabriel</t>
  </si>
  <si>
    <t>Mazurek Eliasz
Smagała Jerzy</t>
  </si>
  <si>
    <t>Olszewski Grzegorz
Patla Łukasz</t>
  </si>
  <si>
    <t>Reizer Grzegorz
Leja Sławomir</t>
  </si>
  <si>
    <t>Kawa Grzegorz
Tylec Marcin</t>
  </si>
  <si>
    <t>Kalczyński Szymon
Kalczyński Mieczysław</t>
  </si>
  <si>
    <t>Kozłowicz Tomasz
Kopeć Marcin</t>
  </si>
  <si>
    <t>Fiat S.C.</t>
  </si>
  <si>
    <t>FIAT</t>
  </si>
  <si>
    <t>Fiat 126p</t>
  </si>
  <si>
    <t>FFC.C.</t>
  </si>
  <si>
    <t>FFS.C.</t>
  </si>
  <si>
    <t xml:space="preserve"> &lt;1400  </t>
  </si>
  <si>
    <t>Suzuki Gti</t>
  </si>
  <si>
    <t>Citroen Saxo</t>
  </si>
  <si>
    <t>Honda Civic</t>
  </si>
  <si>
    <t>JKMiRD Jasło</t>
  </si>
  <si>
    <t>Opel Corsa</t>
  </si>
  <si>
    <t>AK Rzeszowski</t>
  </si>
  <si>
    <t>MK Team Kielce</t>
  </si>
  <si>
    <t>Ford Fiesta ST</t>
  </si>
  <si>
    <t>AK Śląski</t>
  </si>
  <si>
    <t>BMW 330 Ti</t>
  </si>
  <si>
    <t>Solarz Karol
Dubiel Bartosz</t>
  </si>
  <si>
    <t>Sidur Arkadiusz
Kokoszka Marek</t>
  </si>
  <si>
    <t>Szczepan Michał
Loch Rafał</t>
  </si>
  <si>
    <t>Grzelak Marek
Letnioweski Dominik</t>
  </si>
  <si>
    <t>Pastuła Piotr
Róg Dawid</t>
  </si>
  <si>
    <t>Piwnik Maciej
Wójcik Anna</t>
  </si>
  <si>
    <t>Woś Wojciech
Sułek Adam</t>
  </si>
  <si>
    <t>FSO Polonez</t>
  </si>
  <si>
    <t>Pięta Jan
Mędrygał Sławomir</t>
  </si>
  <si>
    <t xml:space="preserve">&lt;2000 </t>
  </si>
  <si>
    <t xml:space="preserve">AK Rzeszowski </t>
  </si>
  <si>
    <t>Wiśniowski Bogdan
Wiśniowski Mateusz</t>
  </si>
  <si>
    <t xml:space="preserve">Lp. </t>
  </si>
  <si>
    <t>Komisja obliczeń Kamila Antos</t>
  </si>
  <si>
    <t>IV Runda Mistrzostw Okręgu Rzeszowskiego PZM</t>
  </si>
  <si>
    <t>XVI Rajd Mielecki - TARGUM</t>
  </si>
  <si>
    <t>Klasyfikacja Generalna</t>
  </si>
  <si>
    <t>W Y N I K I     O F I C J A L N E</t>
  </si>
</sst>
</file>

<file path=xl/styles.xml><?xml version="1.0" encoding="utf-8"?>
<styleSheet xmlns="http://schemas.openxmlformats.org/spreadsheetml/2006/main">
  <numFmts count="3">
    <numFmt numFmtId="43" formatCode="_-* #,##0.00\ _z_ł_-;\-* #,##0.00\ _z_ł_-;_-* &quot;-&quot;??\ _z_ł_-;_-@_-"/>
    <numFmt numFmtId="164" formatCode="[$-F400]h:mm:ss\ AM/PM"/>
    <numFmt numFmtId="165" formatCode="h:mm;@"/>
  </numFmts>
  <fonts count="73">
    <font>
      <sz val="10"/>
      <name val="Arial CE"/>
    </font>
    <font>
      <sz val="10"/>
      <name val="Arial CE"/>
    </font>
    <font>
      <b/>
      <sz val="12"/>
      <name val="Arial CE"/>
    </font>
    <font>
      <sz val="14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11"/>
      <name val="Arial CE"/>
      <family val="2"/>
      <charset val="238"/>
    </font>
    <font>
      <b/>
      <sz val="14"/>
      <name val="Times New Roman CE"/>
      <family val="1"/>
      <charset val="238"/>
    </font>
    <font>
      <sz val="10"/>
      <name val="Arial CE"/>
      <charset val="238"/>
    </font>
    <font>
      <sz val="12"/>
      <name val="Arial CE"/>
      <family val="2"/>
      <charset val="238"/>
    </font>
    <font>
      <sz val="9"/>
      <name val="Arial CE"/>
    </font>
    <font>
      <b/>
      <i/>
      <sz val="9"/>
      <name val="Times New Roman CE"/>
      <family val="1"/>
      <charset val="238"/>
    </font>
    <font>
      <b/>
      <sz val="9"/>
      <name val="Arial CE"/>
      <family val="2"/>
      <charset val="238"/>
    </font>
    <font>
      <sz val="12"/>
      <name val="Arial CE"/>
    </font>
    <font>
      <sz val="14"/>
      <name val="Arial CE"/>
    </font>
    <font>
      <b/>
      <sz val="18"/>
      <name val="Times New Roman CE"/>
      <family val="1"/>
      <charset val="238"/>
    </font>
    <font>
      <b/>
      <sz val="12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52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u/>
      <sz val="12"/>
      <color indexed="56"/>
      <name val="Arial CE"/>
      <charset val="238"/>
    </font>
    <font>
      <b/>
      <sz val="13"/>
      <color indexed="18"/>
      <name val="Arial"/>
      <family val="2"/>
      <charset val="238"/>
    </font>
    <font>
      <b/>
      <sz val="20"/>
      <color indexed="16"/>
      <name val="Times New Roman CE"/>
      <charset val="238"/>
    </font>
    <font>
      <b/>
      <sz val="13"/>
      <color indexed="18"/>
      <name val="Times New Roman"/>
      <family val="1"/>
      <charset val="238"/>
    </font>
    <font>
      <b/>
      <i/>
      <sz val="18"/>
      <color indexed="16"/>
      <name val="Times New Roman"/>
      <family val="1"/>
      <charset val="238"/>
    </font>
    <font>
      <i/>
      <sz val="10"/>
      <name val="Arial CE"/>
    </font>
    <font>
      <b/>
      <sz val="12"/>
      <color theme="1"/>
      <name val="Arial"/>
      <family val="2"/>
      <charset val="238"/>
    </font>
    <font>
      <sz val="10"/>
      <color theme="1"/>
      <name val="Arial CE"/>
    </font>
    <font>
      <b/>
      <sz val="10"/>
      <name val="Times New Roman CE"/>
      <family val="1"/>
      <charset val="238"/>
    </font>
    <font>
      <b/>
      <sz val="14"/>
      <name val="Arial CE"/>
      <family val="2"/>
      <charset val="238"/>
    </font>
    <font>
      <b/>
      <sz val="12"/>
      <color indexed="18"/>
      <name val="Arial"/>
      <family val="2"/>
      <charset val="238"/>
    </font>
    <font>
      <i/>
      <sz val="10"/>
      <name val="Arial"/>
      <family val="2"/>
      <charset val="238"/>
    </font>
    <font>
      <i/>
      <sz val="11"/>
      <name val="Arial"/>
      <family val="2"/>
      <charset val="238"/>
    </font>
    <font>
      <sz val="11"/>
      <name val="Arial CE"/>
    </font>
    <font>
      <b/>
      <i/>
      <sz val="10"/>
      <name val="Arial CE"/>
    </font>
    <font>
      <i/>
      <sz val="10"/>
      <name val="Arial CE"/>
      <family val="2"/>
      <charset val="238"/>
    </font>
    <font>
      <i/>
      <sz val="10"/>
      <name val="Arial CE"/>
      <charset val="238"/>
    </font>
    <font>
      <b/>
      <i/>
      <sz val="12"/>
      <color indexed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name val="Arial"/>
      <family val="2"/>
      <charset val="238"/>
    </font>
    <font>
      <sz val="10"/>
      <color theme="3" tint="-0.249977111117893"/>
      <name val="Arial CE"/>
    </font>
    <font>
      <sz val="10"/>
      <color theme="0"/>
      <name val="Arial CE"/>
    </font>
    <font>
      <sz val="11"/>
      <name val="Arial CE"/>
      <charset val="238"/>
    </font>
    <font>
      <u/>
      <sz val="12"/>
      <color rgb="FF00B050"/>
      <name val="Arial CE"/>
    </font>
    <font>
      <b/>
      <i/>
      <sz val="12"/>
      <name val="Arial CE"/>
      <charset val="238"/>
    </font>
    <font>
      <i/>
      <sz val="9"/>
      <name val="Arial CE"/>
      <charset val="238"/>
    </font>
    <font>
      <b/>
      <sz val="12"/>
      <color theme="1"/>
      <name val="Arial CE"/>
    </font>
    <font>
      <sz val="10"/>
      <color theme="0"/>
      <name val="Arial CE"/>
      <charset val="238"/>
    </font>
    <font>
      <sz val="11"/>
      <color theme="0"/>
      <name val="Arial CE"/>
      <charset val="238"/>
    </font>
    <font>
      <b/>
      <sz val="11"/>
      <color theme="0"/>
      <name val="Arial CE"/>
      <family val="2"/>
      <charset val="238"/>
    </font>
    <font>
      <b/>
      <u/>
      <sz val="12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8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4" borderId="0" applyNumberFormat="0" applyBorder="0" applyAlignment="0" applyProtection="0"/>
    <xf numFmtId="43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25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9" fillId="0" borderId="0"/>
    <xf numFmtId="0" fontId="10" fillId="0" borderId="0"/>
    <xf numFmtId="0" fontId="35" fillId="20" borderId="1" applyNumberFormat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23" borderId="9" applyNumberFormat="0" applyAlignment="0" applyProtection="0"/>
    <xf numFmtId="0" fontId="28" fillId="3" borderId="0" applyNumberFormat="0" applyBorder="0" applyAlignment="0" applyProtection="0"/>
  </cellStyleXfs>
  <cellXfs count="226">
    <xf numFmtId="0" fontId="0" fillId="0" borderId="0" xfId="0"/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0" fontId="5" fillId="0" borderId="0" xfId="0" applyFont="1" applyFill="1" applyBorder="1" applyAlignment="1"/>
    <xf numFmtId="0" fontId="13" fillId="0" borderId="0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0" fillId="0" borderId="0" xfId="0" applyFont="1" applyFill="1"/>
    <xf numFmtId="0" fontId="43" fillId="0" borderId="0" xfId="36" applyFont="1" applyAlignment="1">
      <alignment horizontal="right" vertical="center"/>
    </xf>
    <xf numFmtId="0" fontId="38" fillId="0" borderId="11" xfId="37" applyFont="1" applyFill="1" applyBorder="1" applyAlignment="1">
      <alignment vertical="center" wrapText="1"/>
    </xf>
    <xf numFmtId="0" fontId="39" fillId="0" borderId="11" xfId="37" applyFont="1" applyFill="1" applyBorder="1" applyAlignment="1">
      <alignment horizontal="center" vertical="center"/>
    </xf>
    <xf numFmtId="2" fontId="38" fillId="0" borderId="11" xfId="0" applyNumberFormat="1" applyFont="1" applyFill="1" applyBorder="1" applyAlignment="1">
      <alignment horizontal="center" vertical="center"/>
    </xf>
    <xf numFmtId="0" fontId="39" fillId="0" borderId="10" xfId="37" applyFont="1" applyFill="1" applyBorder="1" applyAlignment="1">
      <alignment horizontal="center" vertical="center"/>
    </xf>
    <xf numFmtId="2" fontId="39" fillId="0" borderId="11" xfId="28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38" fillId="0" borderId="10" xfId="37" applyFont="1" applyFill="1" applyBorder="1" applyAlignment="1">
      <alignment vertical="center" wrapText="1"/>
    </xf>
    <xf numFmtId="0" fontId="38" fillId="0" borderId="10" xfId="37" applyFont="1" applyFill="1" applyBorder="1" applyAlignment="1">
      <alignment horizontal="center" vertical="center" wrapText="1"/>
    </xf>
    <xf numFmtId="2" fontId="38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39" fillId="0" borderId="10" xfId="28" applyNumberFormat="1" applyFont="1" applyFill="1" applyBorder="1" applyAlignment="1">
      <alignment horizontal="right" vertical="center"/>
    </xf>
    <xf numFmtId="2" fontId="38" fillId="0" borderId="12" xfId="0" applyNumberFormat="1" applyFont="1" applyFill="1" applyBorder="1" applyAlignment="1">
      <alignment horizontal="center" vertical="center"/>
    </xf>
    <xf numFmtId="0" fontId="38" fillId="0" borderId="12" xfId="37" applyFont="1" applyFill="1" applyBorder="1" applyAlignment="1">
      <alignment vertical="center" wrapText="1"/>
    </xf>
    <xf numFmtId="0" fontId="39" fillId="0" borderId="12" xfId="37" applyFont="1" applyFill="1" applyBorder="1" applyAlignment="1">
      <alignment horizontal="center" vertical="center"/>
    </xf>
    <xf numFmtId="0" fontId="39" fillId="0" borderId="10" xfId="37" applyFont="1" applyFill="1" applyBorder="1" applyAlignment="1">
      <alignment horizontal="center" vertical="center" wrapText="1"/>
    </xf>
    <xf numFmtId="0" fontId="38" fillId="0" borderId="0" xfId="36" applyFont="1" applyFill="1" applyAlignment="1">
      <alignment horizontal="right" vertical="center" wrapText="1"/>
    </xf>
    <xf numFmtId="0" fontId="45" fillId="0" borderId="0" xfId="0" applyFont="1" applyFill="1"/>
    <xf numFmtId="0" fontId="47" fillId="0" borderId="0" xfId="0" applyFont="1" applyFill="1"/>
    <xf numFmtId="0" fontId="47" fillId="25" borderId="0" xfId="0" applyFont="1" applyFill="1"/>
    <xf numFmtId="0" fontId="38" fillId="0" borderId="11" xfId="37" applyFont="1" applyFill="1" applyBorder="1" applyAlignment="1">
      <alignment horizontal="center" vertical="center" wrapText="1"/>
    </xf>
    <xf numFmtId="0" fontId="38" fillId="0" borderId="15" xfId="37" applyFont="1" applyFill="1" applyBorder="1" applyAlignment="1">
      <alignment vertical="center" wrapText="1"/>
    </xf>
    <xf numFmtId="0" fontId="46" fillId="25" borderId="12" xfId="0" applyNumberFormat="1" applyFont="1" applyFill="1" applyBorder="1" applyAlignment="1">
      <alignment horizontal="center" vertical="center"/>
    </xf>
    <xf numFmtId="0" fontId="39" fillId="0" borderId="11" xfId="37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0" fontId="42" fillId="0" borderId="0" xfId="36" applyFont="1" applyFill="1" applyBorder="1" applyAlignment="1">
      <alignment horizontal="center" vertical="center" readingOrder="1"/>
    </xf>
    <xf numFmtId="0" fontId="43" fillId="0" borderId="0" xfId="36" applyFont="1" applyFill="1" applyAlignment="1">
      <alignment horizontal="right" vertical="center"/>
    </xf>
    <xf numFmtId="0" fontId="39" fillId="0" borderId="15" xfId="37" applyFont="1" applyFill="1" applyBorder="1" applyAlignment="1">
      <alignment horizontal="center" vertical="center" wrapText="1"/>
    </xf>
    <xf numFmtId="0" fontId="38" fillId="0" borderId="15" xfId="37" applyFont="1" applyFill="1" applyBorder="1" applyAlignment="1">
      <alignment horizontal="center" vertical="center" wrapText="1"/>
    </xf>
    <xf numFmtId="2" fontId="38" fillId="0" borderId="15" xfId="0" applyNumberFormat="1" applyFont="1" applyFill="1" applyBorder="1" applyAlignment="1">
      <alignment horizontal="center" vertical="center"/>
    </xf>
    <xf numFmtId="2" fontId="39" fillId="0" borderId="12" xfId="28" applyNumberFormat="1" applyFont="1" applyFill="1" applyBorder="1" applyAlignment="1">
      <alignment horizontal="right" vertical="center"/>
    </xf>
    <xf numFmtId="2" fontId="38" fillId="0" borderId="13" xfId="0" applyNumberFormat="1" applyFont="1" applyFill="1" applyBorder="1" applyAlignment="1">
      <alignment horizontal="center" vertical="center"/>
    </xf>
    <xf numFmtId="0" fontId="51" fillId="0" borderId="0" xfId="37" applyFont="1" applyFill="1" applyBorder="1" applyAlignment="1">
      <alignment vertical="center" wrapText="1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38" fillId="0" borderId="0" xfId="36" applyFont="1" applyFill="1" applyAlignment="1"/>
    <xf numFmtId="0" fontId="11" fillId="0" borderId="0" xfId="0" applyFont="1" applyFill="1" applyAlignment="1"/>
    <xf numFmtId="4" fontId="57" fillId="0" borderId="10" xfId="36" applyNumberFormat="1" applyFont="1" applyFill="1" applyBorder="1" applyAlignment="1">
      <alignment horizontal="center" vertical="center"/>
    </xf>
    <xf numFmtId="20" fontId="0" fillId="0" borderId="0" xfId="0" applyNumberFormat="1"/>
    <xf numFmtId="0" fontId="53" fillId="0" borderId="0" xfId="0" applyFont="1"/>
    <xf numFmtId="0" fontId="59" fillId="0" borderId="10" xfId="0" applyFont="1" applyFill="1" applyBorder="1" applyAlignment="1">
      <alignment horizontal="center" vertical="center"/>
    </xf>
    <xf numFmtId="0" fontId="59" fillId="0" borderId="10" xfId="37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0" fillId="25" borderId="10" xfId="0" applyFont="1" applyFill="1" applyBorder="1" applyAlignment="1">
      <alignment horizontal="center" vertical="center"/>
    </xf>
    <xf numFmtId="0" fontId="59" fillId="0" borderId="10" xfId="0" applyNumberFormat="1" applyFont="1" applyFill="1" applyBorder="1" applyAlignment="1">
      <alignment horizontal="center" vertical="center"/>
    </xf>
    <xf numFmtId="0" fontId="60" fillId="0" borderId="10" xfId="37" applyFont="1" applyFill="1" applyBorder="1" applyAlignment="1">
      <alignment horizontal="center" vertical="center"/>
    </xf>
    <xf numFmtId="0" fontId="60" fillId="25" borderId="10" xfId="37" applyFont="1" applyFill="1" applyBorder="1" applyAlignment="1">
      <alignment horizontal="center" vertical="center"/>
    </xf>
    <xf numFmtId="0" fontId="0" fillId="0" borderId="0" xfId="0" applyFont="1"/>
    <xf numFmtId="0" fontId="45" fillId="0" borderId="0" xfId="0" applyFont="1"/>
    <xf numFmtId="0" fontId="61" fillId="24" borderId="14" xfId="36" applyFont="1" applyFill="1" applyBorder="1" applyAlignment="1">
      <alignment horizontal="center" vertical="center"/>
    </xf>
    <xf numFmtId="0" fontId="58" fillId="24" borderId="15" xfId="36" applyFont="1" applyFill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/>
    </xf>
    <xf numFmtId="20" fontId="58" fillId="0" borderId="2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20" fontId="8" fillId="0" borderId="0" xfId="0" applyNumberFormat="1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39" fillId="0" borderId="12" xfId="37" applyFont="1" applyFill="1" applyBorder="1" applyAlignment="1">
      <alignment horizontal="center" vertical="center" wrapText="1"/>
    </xf>
    <xf numFmtId="0" fontId="38" fillId="0" borderId="12" xfId="37" applyFont="1" applyFill="1" applyBorder="1" applyAlignment="1">
      <alignment horizontal="center" vertical="center" wrapText="1"/>
    </xf>
    <xf numFmtId="0" fontId="42" fillId="0" borderId="0" xfId="36" applyFont="1" applyFill="1" applyBorder="1" applyAlignment="1">
      <alignment vertical="center" readingOrder="1"/>
    </xf>
    <xf numFmtId="0" fontId="0" fillId="0" borderId="0" xfId="0" applyFill="1" applyAlignment="1">
      <alignment horizontal="center" vertical="center"/>
    </xf>
    <xf numFmtId="2" fontId="40" fillId="0" borderId="16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62" fillId="0" borderId="0" xfId="0" applyFont="1" applyFill="1"/>
    <xf numFmtId="0" fontId="0" fillId="0" borderId="0" xfId="0" applyFill="1"/>
    <xf numFmtId="164" fontId="63" fillId="0" borderId="0" xfId="0" applyNumberFormat="1" applyFont="1" applyFill="1"/>
    <xf numFmtId="0" fontId="46" fillId="25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39" fillId="0" borderId="0" xfId="37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53" fillId="0" borderId="10" xfId="0" applyFont="1" applyFill="1" applyBorder="1" applyAlignment="1">
      <alignment vertical="center" wrapText="1"/>
    </xf>
    <xf numFmtId="0" fontId="64" fillId="0" borderId="10" xfId="0" applyFont="1" applyFill="1" applyBorder="1" applyAlignment="1">
      <alignment vertical="center" wrapText="1"/>
    </xf>
    <xf numFmtId="0" fontId="53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/>
    </xf>
    <xf numFmtId="165" fontId="37" fillId="0" borderId="24" xfId="0" applyNumberFormat="1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vertical="center" wrapText="1"/>
    </xf>
    <xf numFmtId="0" fontId="0" fillId="0" borderId="26" xfId="0" applyFill="1" applyBorder="1" applyAlignment="1">
      <alignment horizontal="center" vertical="center"/>
    </xf>
    <xf numFmtId="0" fontId="39" fillId="0" borderId="26" xfId="37" applyFont="1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165" fontId="37" fillId="0" borderId="27" xfId="0" applyNumberFormat="1" applyFont="1" applyFill="1" applyBorder="1" applyAlignment="1">
      <alignment horizontal="center" vertical="center"/>
    </xf>
    <xf numFmtId="0" fontId="38" fillId="0" borderId="28" xfId="0" applyFont="1" applyFill="1" applyBorder="1" applyAlignment="1">
      <alignment horizontal="center" vertical="center"/>
    </xf>
    <xf numFmtId="0" fontId="59" fillId="0" borderId="11" xfId="37" applyFont="1" applyFill="1" applyBorder="1" applyAlignment="1">
      <alignment vertical="center" wrapText="1"/>
    </xf>
    <xf numFmtId="0" fontId="47" fillId="25" borderId="11" xfId="0" applyFont="1" applyFill="1" applyBorder="1" applyAlignment="1">
      <alignment horizontal="center" vertical="center"/>
    </xf>
    <xf numFmtId="0" fontId="46" fillId="25" borderId="11" xfId="0" applyNumberFormat="1" applyFont="1" applyFill="1" applyBorder="1" applyAlignment="1">
      <alignment horizontal="center" vertical="center"/>
    </xf>
    <xf numFmtId="0" fontId="47" fillId="25" borderId="11" xfId="0" applyFont="1" applyFill="1" applyBorder="1" applyAlignment="1">
      <alignment vertical="center"/>
    </xf>
    <xf numFmtId="165" fontId="37" fillId="0" borderId="29" xfId="0" applyNumberFormat="1" applyFont="1" applyFill="1" applyBorder="1" applyAlignment="1">
      <alignment horizontal="center" vertical="center"/>
    </xf>
    <xf numFmtId="0" fontId="38" fillId="0" borderId="30" xfId="0" applyFont="1" applyFill="1" applyBorder="1" applyAlignment="1">
      <alignment horizontal="center" vertical="center"/>
    </xf>
    <xf numFmtId="165" fontId="37" fillId="0" borderId="31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53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 horizontal="left" vertical="center"/>
    </xf>
    <xf numFmtId="0" fontId="42" fillId="0" borderId="0" xfId="36" applyFont="1" applyBorder="1" applyAlignment="1">
      <alignment horizontal="center" vertical="center" readingOrder="1"/>
    </xf>
    <xf numFmtId="0" fontId="42" fillId="0" borderId="0" xfId="36" applyFont="1" applyBorder="1" applyAlignment="1">
      <alignment vertical="center" readingOrder="1"/>
    </xf>
    <xf numFmtId="0" fontId="41" fillId="0" borderId="0" xfId="36" applyFont="1" applyBorder="1" applyAlignment="1">
      <alignment vertical="center"/>
    </xf>
    <xf numFmtId="0" fontId="0" fillId="0" borderId="12" xfId="0" applyFill="1" applyBorder="1" applyAlignment="1">
      <alignment wrapText="1"/>
    </xf>
    <xf numFmtId="0" fontId="12" fillId="0" borderId="0" xfId="0" applyFont="1" applyFill="1" applyAlignment="1">
      <alignment horizontal="center" vertical="center"/>
    </xf>
    <xf numFmtId="0" fontId="44" fillId="0" borderId="0" xfId="36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9" fillId="24" borderId="32" xfId="36" applyFont="1" applyFill="1" applyBorder="1" applyAlignment="1">
      <alignment horizontal="center" vertical="center"/>
    </xf>
    <xf numFmtId="0" fontId="39" fillId="24" borderId="33" xfId="36" applyFont="1" applyFill="1" applyBorder="1" applyAlignment="1">
      <alignment horizontal="center" vertical="center"/>
    </xf>
    <xf numFmtId="0" fontId="39" fillId="24" borderId="33" xfId="36" applyFont="1" applyFill="1" applyBorder="1" applyAlignment="1">
      <alignment horizontal="center" vertical="center" wrapText="1"/>
    </xf>
    <xf numFmtId="0" fontId="39" fillId="24" borderId="33" xfId="36" applyFont="1" applyFill="1" applyBorder="1" applyAlignment="1">
      <alignment vertical="center"/>
    </xf>
    <xf numFmtId="0" fontId="4" fillId="24" borderId="34" xfId="0" applyFont="1" applyFill="1" applyBorder="1" applyAlignment="1">
      <alignment horizontal="center" vertical="center"/>
    </xf>
    <xf numFmtId="2" fontId="38" fillId="0" borderId="35" xfId="0" applyNumberFormat="1" applyFont="1" applyFill="1" applyBorder="1" applyAlignment="1">
      <alignment horizontal="center" vertical="center"/>
    </xf>
    <xf numFmtId="2" fontId="38" fillId="0" borderId="36" xfId="0" applyNumberFormat="1" applyFont="1" applyFill="1" applyBorder="1" applyAlignment="1">
      <alignment horizontal="center" vertical="center"/>
    </xf>
    <xf numFmtId="2" fontId="38" fillId="0" borderId="38" xfId="0" applyNumberFormat="1" applyFont="1" applyFill="1" applyBorder="1" applyAlignment="1">
      <alignment horizontal="center" vertical="center"/>
    </xf>
    <xf numFmtId="2" fontId="38" fillId="0" borderId="39" xfId="0" applyNumberFormat="1" applyFont="1" applyFill="1" applyBorder="1" applyAlignment="1">
      <alignment horizontal="center" vertical="center"/>
    </xf>
    <xf numFmtId="0" fontId="39" fillId="26" borderId="40" xfId="36" applyFont="1" applyFill="1" applyBorder="1" applyAlignment="1">
      <alignment horizontal="center" vertical="center"/>
    </xf>
    <xf numFmtId="0" fontId="39" fillId="26" borderId="41" xfId="36" applyFont="1" applyFill="1" applyBorder="1" applyAlignment="1">
      <alignment horizontal="center" vertical="center"/>
    </xf>
    <xf numFmtId="0" fontId="39" fillId="26" borderId="42" xfId="36" applyFont="1" applyFill="1" applyBorder="1" applyAlignment="1">
      <alignment horizontal="center" vertical="center" wrapText="1"/>
    </xf>
    <xf numFmtId="0" fontId="39" fillId="26" borderId="42" xfId="36" applyFont="1" applyFill="1" applyBorder="1" applyAlignment="1">
      <alignment horizontal="center" vertical="center"/>
    </xf>
    <xf numFmtId="0" fontId="39" fillId="26" borderId="43" xfId="36" applyFont="1" applyFill="1" applyBorder="1" applyAlignment="1">
      <alignment horizontal="center" vertical="center"/>
    </xf>
    <xf numFmtId="0" fontId="4" fillId="26" borderId="41" xfId="0" applyFont="1" applyFill="1" applyBorder="1" applyAlignment="1">
      <alignment horizontal="center" vertical="center" wrapText="1"/>
    </xf>
    <xf numFmtId="0" fontId="4" fillId="26" borderId="41" xfId="0" applyFont="1" applyFill="1" applyBorder="1" applyAlignment="1">
      <alignment horizontal="center" vertical="center"/>
    </xf>
    <xf numFmtId="0" fontId="4" fillId="26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2" fillId="0" borderId="21" xfId="0" applyFont="1" applyFill="1" applyBorder="1" applyAlignment="1">
      <alignment horizontal="center" vertical="center"/>
    </xf>
    <xf numFmtId="0" fontId="60" fillId="25" borderId="12" xfId="37" applyFont="1" applyFill="1" applyBorder="1" applyAlignment="1">
      <alignment horizontal="center" vertical="center"/>
    </xf>
    <xf numFmtId="0" fontId="60" fillId="25" borderId="12" xfId="0" applyFont="1" applyFill="1" applyBorder="1" applyAlignment="1">
      <alignment horizontal="center" vertical="center"/>
    </xf>
    <xf numFmtId="20" fontId="58" fillId="0" borderId="17" xfId="0" applyNumberFormat="1" applyFont="1" applyFill="1" applyBorder="1" applyAlignment="1">
      <alignment horizontal="center" vertical="center"/>
    </xf>
    <xf numFmtId="2" fontId="65" fillId="0" borderId="22" xfId="0" applyNumberFormat="1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/>
    </xf>
    <xf numFmtId="0" fontId="67" fillId="0" borderId="0" xfId="0" applyFont="1" applyFill="1" applyAlignment="1">
      <alignment horizontal="center"/>
    </xf>
    <xf numFmtId="0" fontId="38" fillId="0" borderId="46" xfId="0" applyFont="1" applyFill="1" applyBorder="1" applyAlignment="1">
      <alignment horizontal="center" vertical="center"/>
    </xf>
    <xf numFmtId="0" fontId="37" fillId="0" borderId="29" xfId="0" applyFont="1" applyFill="1" applyBorder="1" applyAlignment="1">
      <alignment horizontal="center" vertical="center"/>
    </xf>
    <xf numFmtId="0" fontId="38" fillId="0" borderId="47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0" fontId="38" fillId="0" borderId="48" xfId="0" applyFont="1" applyFill="1" applyBorder="1" applyAlignment="1">
      <alignment horizontal="center" vertical="center"/>
    </xf>
    <xf numFmtId="0" fontId="37" fillId="0" borderId="49" xfId="0" applyFont="1" applyFill="1" applyBorder="1" applyAlignment="1">
      <alignment horizontal="center" vertical="center"/>
    </xf>
    <xf numFmtId="0" fontId="38" fillId="0" borderId="50" xfId="0" applyFont="1" applyFill="1" applyBorder="1" applyAlignment="1">
      <alignment horizontal="center" vertical="center"/>
    </xf>
    <xf numFmtId="0" fontId="37" fillId="0" borderId="51" xfId="0" applyFont="1" applyFill="1" applyBorder="1" applyAlignment="1">
      <alignment horizontal="center" vertical="center"/>
    </xf>
    <xf numFmtId="0" fontId="38" fillId="0" borderId="52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38" fillId="0" borderId="53" xfId="0" applyFont="1" applyFill="1" applyBorder="1" applyAlignment="1">
      <alignment horizontal="center" vertical="center"/>
    </xf>
    <xf numFmtId="0" fontId="38" fillId="0" borderId="26" xfId="37" applyFont="1" applyFill="1" applyBorder="1" applyAlignment="1">
      <alignment vertical="center" wrapText="1"/>
    </xf>
    <xf numFmtId="0" fontId="39" fillId="0" borderId="26" xfId="37" applyFont="1" applyFill="1" applyBorder="1" applyAlignment="1">
      <alignment horizontal="center" vertical="center" wrapText="1"/>
    </xf>
    <xf numFmtId="0" fontId="38" fillId="0" borderId="26" xfId="37" applyFont="1" applyFill="1" applyBorder="1" applyAlignment="1">
      <alignment horizontal="center" vertical="center" wrapText="1"/>
    </xf>
    <xf numFmtId="2" fontId="38" fillId="0" borderId="26" xfId="0" applyNumberFormat="1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8" fillId="25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2" fillId="0" borderId="0" xfId="36" applyFont="1" applyFill="1" applyBorder="1" applyAlignment="1">
      <alignment horizontal="center" vertical="center" readingOrder="1"/>
    </xf>
    <xf numFmtId="0" fontId="64" fillId="0" borderId="0" xfId="0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69" fillId="0" borderId="0" xfId="0" applyFont="1" applyFill="1" applyAlignment="1">
      <alignment horizontal="center"/>
    </xf>
    <xf numFmtId="0" fontId="70" fillId="0" borderId="0" xfId="0" applyFont="1" applyFill="1" applyAlignment="1">
      <alignment horizontal="center"/>
    </xf>
    <xf numFmtId="2" fontId="7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72" fillId="0" borderId="36" xfId="0" applyNumberFormat="1" applyFont="1" applyFill="1" applyBorder="1" applyAlignment="1">
      <alignment horizontal="center" vertical="center"/>
    </xf>
    <xf numFmtId="2" fontId="72" fillId="0" borderId="10" xfId="0" applyNumberFormat="1" applyFont="1" applyFill="1" applyBorder="1" applyAlignment="1">
      <alignment horizontal="center" vertical="center"/>
    </xf>
    <xf numFmtId="2" fontId="72" fillId="0" borderId="38" xfId="0" applyNumberFormat="1" applyFont="1" applyFill="1" applyBorder="1" applyAlignment="1">
      <alignment horizontal="center" vertical="center"/>
    </xf>
    <xf numFmtId="2" fontId="72" fillId="0" borderId="15" xfId="0" applyNumberFormat="1" applyFont="1" applyFill="1" applyBorder="1" applyAlignment="1">
      <alignment horizontal="center" vertical="center"/>
    </xf>
    <xf numFmtId="2" fontId="72" fillId="0" borderId="12" xfId="0" applyNumberFormat="1" applyFont="1" applyFill="1" applyBorder="1" applyAlignment="1">
      <alignment horizontal="center" vertical="center"/>
    </xf>
    <xf numFmtId="2" fontId="72" fillId="0" borderId="26" xfId="0" applyNumberFormat="1" applyFont="1" applyFill="1" applyBorder="1" applyAlignment="1">
      <alignment horizontal="center" vertical="center"/>
    </xf>
    <xf numFmtId="2" fontId="72" fillId="0" borderId="13" xfId="0" applyNumberFormat="1" applyFont="1" applyFill="1" applyBorder="1" applyAlignment="1">
      <alignment horizontal="center" vertical="center"/>
    </xf>
    <xf numFmtId="2" fontId="72" fillId="0" borderId="11" xfId="0" applyNumberFormat="1" applyFont="1" applyFill="1" applyBorder="1" applyAlignment="1">
      <alignment horizontal="center" vertical="center"/>
    </xf>
    <xf numFmtId="2" fontId="72" fillId="0" borderId="37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1" fillId="0" borderId="0" xfId="36" applyFont="1" applyBorder="1" applyAlignment="1">
      <alignment horizontal="center" vertical="center"/>
    </xf>
    <xf numFmtId="0" fontId="50" fillId="0" borderId="0" xfId="36" applyFont="1" applyBorder="1" applyAlignment="1">
      <alignment horizontal="center" vertical="center"/>
    </xf>
    <xf numFmtId="0" fontId="44" fillId="0" borderId="0" xfId="36" applyFont="1" applyFill="1" applyAlignment="1">
      <alignment horizontal="center"/>
    </xf>
    <xf numFmtId="0" fontId="42" fillId="0" borderId="0" xfId="36" applyFont="1" applyFill="1" applyBorder="1" applyAlignment="1">
      <alignment horizontal="center" vertical="center" readingOrder="1"/>
    </xf>
    <xf numFmtId="0" fontId="39" fillId="26" borderId="43" xfId="36" applyFont="1" applyFill="1" applyBorder="1" applyAlignment="1">
      <alignment horizontal="center" vertical="center"/>
    </xf>
    <xf numFmtId="0" fontId="39" fillId="26" borderId="44" xfId="36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38" fillId="0" borderId="54" xfId="0" applyFont="1" applyFill="1" applyBorder="1" applyAlignment="1">
      <alignment horizontal="center" vertical="center"/>
    </xf>
    <xf numFmtId="0" fontId="37" fillId="0" borderId="55" xfId="0" applyFont="1" applyFill="1" applyBorder="1" applyAlignment="1">
      <alignment horizontal="center" vertical="center"/>
    </xf>
    <xf numFmtId="0" fontId="39" fillId="26" borderId="56" xfId="36" applyFont="1" applyFill="1" applyBorder="1" applyAlignment="1">
      <alignment horizontal="center" vertical="center"/>
    </xf>
    <xf numFmtId="0" fontId="39" fillId="26" borderId="57" xfId="36" applyFont="1" applyFill="1" applyBorder="1" applyAlignment="1">
      <alignment horizontal="center" vertical="center"/>
    </xf>
    <xf numFmtId="0" fontId="39" fillId="26" borderId="58" xfId="36" applyFont="1" applyFill="1" applyBorder="1" applyAlignment="1">
      <alignment horizontal="center" vertical="center" wrapText="1"/>
    </xf>
    <xf numFmtId="0" fontId="39" fillId="26" borderId="59" xfId="36" applyFont="1" applyFill="1" applyBorder="1" applyAlignment="1">
      <alignment horizontal="center" vertical="center"/>
    </xf>
    <xf numFmtId="0" fontId="39" fillId="26" borderId="60" xfId="36" applyFont="1" applyFill="1" applyBorder="1" applyAlignment="1">
      <alignment horizontal="center" vertical="center"/>
    </xf>
    <xf numFmtId="0" fontId="39" fillId="26" borderId="58" xfId="36" applyFont="1" applyFill="1" applyBorder="1" applyAlignment="1">
      <alignment horizontal="center" vertical="center"/>
    </xf>
    <xf numFmtId="0" fontId="39" fillId="26" borderId="59" xfId="36" applyFont="1" applyFill="1" applyBorder="1" applyAlignment="1">
      <alignment horizontal="center" vertical="center"/>
    </xf>
    <xf numFmtId="0" fontId="4" fillId="26" borderId="57" xfId="0" applyFont="1" applyFill="1" applyBorder="1" applyAlignment="1">
      <alignment horizontal="center" vertical="center" wrapText="1"/>
    </xf>
    <xf numFmtId="0" fontId="4" fillId="26" borderId="57" xfId="0" applyFont="1" applyFill="1" applyBorder="1" applyAlignment="1">
      <alignment horizontal="center" vertical="center"/>
    </xf>
    <xf numFmtId="0" fontId="4" fillId="26" borderId="61" xfId="0" applyFont="1" applyFill="1" applyBorder="1" applyAlignment="1">
      <alignment horizontal="center" vertical="center"/>
    </xf>
  </cellXfs>
  <cellStyles count="45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" xfId="28" builtinId="3"/>
    <cellStyle name="Komórka połączona 2" xfId="29"/>
    <cellStyle name="Komórka zaznaczona 2" xfId="30"/>
    <cellStyle name="Nagłówek 1 2" xfId="31"/>
    <cellStyle name="Nagłówek 2 2" xfId="32"/>
    <cellStyle name="Nagłówek 3 2" xfId="33"/>
    <cellStyle name="Nagłówek 4 2" xfId="34"/>
    <cellStyle name="Neutralne 2" xfId="35"/>
    <cellStyle name="Normalny" xfId="0" builtinId="0"/>
    <cellStyle name="Normalny 2" xfId="36"/>
    <cellStyle name="Normalny_Lista-st-21.04.2002." xfId="37"/>
    <cellStyle name="Obliczenia 2" xfId="38"/>
    <cellStyle name="Suma 2" xfId="39"/>
    <cellStyle name="Tekst objaśnienia 2" xfId="40"/>
    <cellStyle name="Tekst ostrzeżenia 2" xfId="41"/>
    <cellStyle name="Tytuł 2" xfId="42"/>
    <cellStyle name="Uwaga 2" xfId="43"/>
    <cellStyle name="Złe 2" xfId="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topLeftCell="A10" zoomScale="82" zoomScaleNormal="82" workbookViewId="0">
      <selection activeCell="F13" sqref="F13"/>
    </sheetView>
  </sheetViews>
  <sheetFormatPr defaultRowHeight="18"/>
  <cols>
    <col min="1" max="1" width="5.7109375" style="30" customWidth="1"/>
    <col min="2" max="2" width="34.140625" style="28" customWidth="1"/>
    <col min="3" max="3" width="9.28515625" style="184" customWidth="1"/>
    <col min="4" max="4" width="9.28515625" style="2" customWidth="1"/>
    <col min="5" max="5" width="7.28515625" style="100" customWidth="1"/>
    <col min="6" max="6" width="22.140625" style="3" customWidth="1"/>
    <col min="7" max="7" width="23.85546875" style="134" customWidth="1"/>
    <col min="8" max="8" width="20" style="4" customWidth="1"/>
    <col min="9" max="9" width="9" style="28" customWidth="1"/>
    <col min="10" max="12" width="9.140625" style="28"/>
    <col min="13" max="13" width="8" style="28" bestFit="1" customWidth="1"/>
    <col min="14" max="14" width="16.140625" style="28" bestFit="1" customWidth="1"/>
    <col min="15" max="15" width="3.28515625" style="28" bestFit="1" customWidth="1"/>
    <col min="16" max="16384" width="9.140625" style="28"/>
  </cols>
  <sheetData>
    <row r="1" spans="1:15" ht="20.25" customHeight="1">
      <c r="A1" s="204" t="s">
        <v>15</v>
      </c>
      <c r="B1" s="204"/>
      <c r="C1" s="204"/>
      <c r="D1" s="204"/>
      <c r="E1" s="132"/>
      <c r="F1" s="132"/>
      <c r="G1" s="130"/>
      <c r="H1" s="17" t="s">
        <v>16</v>
      </c>
      <c r="J1" s="98">
        <v>2.0013888888888891</v>
      </c>
    </row>
    <row r="2" spans="1:15" ht="20.25" customHeight="1">
      <c r="A2" s="204" t="s">
        <v>151</v>
      </c>
      <c r="B2" s="204"/>
      <c r="C2" s="204"/>
      <c r="D2" s="204"/>
      <c r="E2" s="131" t="s">
        <v>45</v>
      </c>
      <c r="F2" s="131"/>
      <c r="G2" s="130"/>
      <c r="H2" s="17" t="s">
        <v>17</v>
      </c>
    </row>
    <row r="3" spans="1:15" ht="20.25" customHeight="1">
      <c r="A3" s="205" t="s">
        <v>150</v>
      </c>
      <c r="B3" s="205"/>
      <c r="C3" s="205"/>
      <c r="D3" s="205"/>
      <c r="E3" s="132"/>
      <c r="F3" s="132"/>
      <c r="G3" s="135"/>
      <c r="H3" s="17" t="s">
        <v>102</v>
      </c>
    </row>
    <row r="4" spans="1:15" ht="14.25" customHeight="1" thickBot="1">
      <c r="A4" s="202"/>
      <c r="B4" s="202"/>
      <c r="C4" s="202"/>
      <c r="D4" s="202"/>
      <c r="E4" s="202"/>
      <c r="F4" s="203"/>
      <c r="G4" s="9"/>
      <c r="H4" s="10"/>
      <c r="N4" s="131"/>
      <c r="O4" s="131"/>
    </row>
    <row r="5" spans="1:15" ht="32.25" thickTop="1">
      <c r="A5" s="137" t="s">
        <v>36</v>
      </c>
      <c r="B5" s="138" t="s">
        <v>18</v>
      </c>
      <c r="C5" s="139" t="s">
        <v>19</v>
      </c>
      <c r="D5" s="140" t="s">
        <v>20</v>
      </c>
      <c r="E5" s="140"/>
      <c r="F5" s="138" t="s">
        <v>0</v>
      </c>
      <c r="G5" s="138" t="s">
        <v>21</v>
      </c>
      <c r="H5" s="141" t="s">
        <v>44</v>
      </c>
    </row>
    <row r="6" spans="1:15" ht="30" customHeight="1">
      <c r="A6" s="109">
        <v>1</v>
      </c>
      <c r="B6" s="105" t="s">
        <v>114</v>
      </c>
      <c r="C6" s="178">
        <v>22</v>
      </c>
      <c r="D6" s="21" t="s">
        <v>13</v>
      </c>
      <c r="E6" s="88" t="s">
        <v>69</v>
      </c>
      <c r="F6" s="89" t="s">
        <v>30</v>
      </c>
      <c r="G6" s="88" t="s">
        <v>74</v>
      </c>
      <c r="H6" s="110">
        <v>0.41666666666666669</v>
      </c>
      <c r="J6" s="103"/>
      <c r="L6" s="97"/>
    </row>
    <row r="7" spans="1:15" ht="30" customHeight="1">
      <c r="A7" s="109">
        <v>2</v>
      </c>
      <c r="B7" s="105" t="s">
        <v>118</v>
      </c>
      <c r="C7" s="178">
        <v>24</v>
      </c>
      <c r="D7" s="21" t="s">
        <v>13</v>
      </c>
      <c r="E7" s="88" t="s">
        <v>69</v>
      </c>
      <c r="F7" s="89" t="s">
        <v>30</v>
      </c>
      <c r="G7" s="88" t="s">
        <v>134</v>
      </c>
      <c r="H7" s="110">
        <f t="shared" ref="H7:H48" si="0">H6+$J$1</f>
        <v>2.4180555555555556</v>
      </c>
      <c r="J7" s="102"/>
      <c r="L7" s="97"/>
      <c r="M7" s="104"/>
      <c r="N7" s="104"/>
    </row>
    <row r="8" spans="1:15" ht="30" customHeight="1" thickBot="1">
      <c r="A8" s="123">
        <v>3</v>
      </c>
      <c r="B8" s="107" t="s">
        <v>113</v>
      </c>
      <c r="C8" s="179">
        <v>30</v>
      </c>
      <c r="D8" s="38" t="s">
        <v>13</v>
      </c>
      <c r="E8" s="108" t="s">
        <v>69</v>
      </c>
      <c r="F8" s="87" t="s">
        <v>28</v>
      </c>
      <c r="G8" s="108" t="s">
        <v>76</v>
      </c>
      <c r="H8" s="124">
        <f t="shared" si="0"/>
        <v>4.4194444444444443</v>
      </c>
      <c r="J8" s="102"/>
      <c r="L8" s="97"/>
    </row>
    <row r="9" spans="1:15" ht="30" customHeight="1">
      <c r="A9" s="117">
        <v>4</v>
      </c>
      <c r="B9" s="118" t="s">
        <v>83</v>
      </c>
      <c r="C9" s="180">
        <v>31</v>
      </c>
      <c r="D9" s="120" t="s">
        <v>25</v>
      </c>
      <c r="E9" s="119" t="s">
        <v>70</v>
      </c>
      <c r="F9" s="121" t="s">
        <v>135</v>
      </c>
      <c r="G9" s="126" t="s">
        <v>40</v>
      </c>
      <c r="H9" s="122">
        <f t="shared" si="0"/>
        <v>6.4208333333333334</v>
      </c>
      <c r="J9" s="104"/>
      <c r="L9" s="97"/>
    </row>
    <row r="10" spans="1:15" ht="30" customHeight="1">
      <c r="A10" s="109">
        <v>5</v>
      </c>
      <c r="B10" s="105" t="s">
        <v>111</v>
      </c>
      <c r="C10" s="178">
        <v>32</v>
      </c>
      <c r="D10" s="99" t="s">
        <v>25</v>
      </c>
      <c r="E10" s="88" t="s">
        <v>70</v>
      </c>
      <c r="F10" s="89" t="s">
        <v>27</v>
      </c>
      <c r="G10" s="88" t="s">
        <v>131</v>
      </c>
      <c r="H10" s="110">
        <f t="shared" si="0"/>
        <v>8.4222222222222225</v>
      </c>
      <c r="L10" s="97"/>
    </row>
    <row r="11" spans="1:15" ht="30" customHeight="1">
      <c r="A11" s="109">
        <v>6</v>
      </c>
      <c r="B11" s="105" t="s">
        <v>82</v>
      </c>
      <c r="C11" s="178">
        <v>34</v>
      </c>
      <c r="D11" s="99" t="s">
        <v>25</v>
      </c>
      <c r="E11" s="85" t="s">
        <v>70</v>
      </c>
      <c r="F11" s="89" t="s">
        <v>26</v>
      </c>
      <c r="G11" s="88" t="s">
        <v>39</v>
      </c>
      <c r="H11" s="110">
        <f t="shared" si="0"/>
        <v>10.423611111111111</v>
      </c>
      <c r="L11" s="97"/>
    </row>
    <row r="12" spans="1:15" ht="28.5">
      <c r="A12" s="109">
        <v>7</v>
      </c>
      <c r="B12" s="105" t="s">
        <v>48</v>
      </c>
      <c r="C12" s="178">
        <v>37</v>
      </c>
      <c r="D12" s="99" t="s">
        <v>25</v>
      </c>
      <c r="E12" s="88" t="s">
        <v>70</v>
      </c>
      <c r="F12" s="89" t="s">
        <v>27</v>
      </c>
      <c r="G12" s="88" t="s">
        <v>40</v>
      </c>
      <c r="H12" s="110">
        <f t="shared" si="0"/>
        <v>12.425000000000001</v>
      </c>
    </row>
    <row r="13" spans="1:15" ht="30" customHeight="1" thickBot="1">
      <c r="A13" s="123">
        <v>8</v>
      </c>
      <c r="B13" s="128" t="s">
        <v>139</v>
      </c>
      <c r="C13" s="179">
        <v>43</v>
      </c>
      <c r="D13" s="46" t="s">
        <v>25</v>
      </c>
      <c r="E13" s="108" t="s">
        <v>70</v>
      </c>
      <c r="F13" s="129" t="s">
        <v>71</v>
      </c>
      <c r="G13" s="108" t="s">
        <v>40</v>
      </c>
      <c r="H13" s="124">
        <f t="shared" si="0"/>
        <v>14.426388888888891</v>
      </c>
    </row>
    <row r="14" spans="1:15" ht="30" customHeight="1">
      <c r="A14" s="117">
        <v>9</v>
      </c>
      <c r="B14" s="125" t="s">
        <v>116</v>
      </c>
      <c r="C14" s="181">
        <v>1</v>
      </c>
      <c r="D14" s="19" t="s">
        <v>32</v>
      </c>
      <c r="E14" s="126" t="s">
        <v>11</v>
      </c>
      <c r="F14" s="127" t="s">
        <v>133</v>
      </c>
      <c r="G14" s="126" t="s">
        <v>131</v>
      </c>
      <c r="H14" s="122">
        <f t="shared" si="0"/>
        <v>16.427777777777781</v>
      </c>
    </row>
    <row r="15" spans="1:15" ht="30" customHeight="1">
      <c r="A15" s="109">
        <v>10</v>
      </c>
      <c r="B15" s="105" t="s">
        <v>84</v>
      </c>
      <c r="C15" s="178">
        <v>7</v>
      </c>
      <c r="D15" s="21" t="s">
        <v>32</v>
      </c>
      <c r="E15" s="88" t="s">
        <v>11</v>
      </c>
      <c r="F15" s="89" t="s">
        <v>72</v>
      </c>
      <c r="G15" s="88" t="s">
        <v>131</v>
      </c>
      <c r="H15" s="110">
        <f t="shared" si="0"/>
        <v>18.429166666666671</v>
      </c>
    </row>
    <row r="16" spans="1:15" ht="30" customHeight="1">
      <c r="A16" s="109">
        <v>11</v>
      </c>
      <c r="B16" s="105" t="s">
        <v>115</v>
      </c>
      <c r="C16" s="178">
        <v>21</v>
      </c>
      <c r="D16" s="21" t="s">
        <v>32</v>
      </c>
      <c r="E16" s="88" t="s">
        <v>11</v>
      </c>
      <c r="F16" s="89" t="s">
        <v>29</v>
      </c>
      <c r="G16" s="88" t="s">
        <v>39</v>
      </c>
      <c r="H16" s="110">
        <f t="shared" si="0"/>
        <v>20.430555555555561</v>
      </c>
    </row>
    <row r="17" spans="1:9" ht="30" customHeight="1">
      <c r="A17" s="109">
        <v>12</v>
      </c>
      <c r="B17" s="105" t="s">
        <v>85</v>
      </c>
      <c r="C17" s="178">
        <v>27</v>
      </c>
      <c r="D17" s="21" t="s">
        <v>32</v>
      </c>
      <c r="E17" s="88" t="s">
        <v>11</v>
      </c>
      <c r="F17" s="89" t="s">
        <v>75</v>
      </c>
      <c r="G17" s="88" t="s">
        <v>76</v>
      </c>
      <c r="H17" s="110">
        <f t="shared" si="0"/>
        <v>22.431944444444451</v>
      </c>
    </row>
    <row r="18" spans="1:9" ht="30" customHeight="1">
      <c r="A18" s="109">
        <v>13</v>
      </c>
      <c r="B18" s="105" t="s">
        <v>49</v>
      </c>
      <c r="C18" s="178">
        <v>33</v>
      </c>
      <c r="D18" s="21" t="s">
        <v>32</v>
      </c>
      <c r="E18" s="88" t="s">
        <v>11</v>
      </c>
      <c r="F18" s="89" t="s">
        <v>43</v>
      </c>
      <c r="G18" s="88" t="s">
        <v>131</v>
      </c>
      <c r="H18" s="110">
        <f t="shared" si="0"/>
        <v>24.433333333333341</v>
      </c>
    </row>
    <row r="19" spans="1:9" ht="30" customHeight="1">
      <c r="A19" s="109">
        <v>14</v>
      </c>
      <c r="B19" s="105" t="s">
        <v>119</v>
      </c>
      <c r="C19" s="178">
        <v>35</v>
      </c>
      <c r="D19" s="21" t="s">
        <v>32</v>
      </c>
      <c r="E19" s="101" t="s">
        <v>11</v>
      </c>
      <c r="F19" s="89" t="s">
        <v>27</v>
      </c>
      <c r="G19" s="88" t="s">
        <v>131</v>
      </c>
      <c r="H19" s="110">
        <f t="shared" si="0"/>
        <v>26.434722222222231</v>
      </c>
      <c r="I19" s="16"/>
    </row>
    <row r="20" spans="1:9" ht="30" customHeight="1">
      <c r="A20" s="109">
        <v>15</v>
      </c>
      <c r="B20" s="106" t="s">
        <v>109</v>
      </c>
      <c r="C20" s="178">
        <v>39</v>
      </c>
      <c r="D20" s="21" t="s">
        <v>32</v>
      </c>
      <c r="E20" s="88" t="s">
        <v>11</v>
      </c>
      <c r="F20" s="89" t="s">
        <v>28</v>
      </c>
      <c r="G20" s="88" t="s">
        <v>39</v>
      </c>
      <c r="H20" s="110">
        <f t="shared" si="0"/>
        <v>28.436111111111121</v>
      </c>
    </row>
    <row r="21" spans="1:9" ht="30" customHeight="1">
      <c r="A21" s="109">
        <v>16</v>
      </c>
      <c r="B21" s="106" t="s">
        <v>142</v>
      </c>
      <c r="C21" s="178">
        <v>44</v>
      </c>
      <c r="D21" s="21" t="s">
        <v>32</v>
      </c>
      <c r="E21" s="88" t="s">
        <v>11</v>
      </c>
      <c r="F21" s="89" t="s">
        <v>73</v>
      </c>
      <c r="G21" s="88" t="s">
        <v>132</v>
      </c>
      <c r="H21" s="110">
        <f t="shared" si="0"/>
        <v>30.437500000000011</v>
      </c>
    </row>
    <row r="22" spans="1:9" ht="30" customHeight="1" thickBot="1">
      <c r="A22" s="123">
        <v>17</v>
      </c>
      <c r="B22" s="133" t="s">
        <v>147</v>
      </c>
      <c r="C22" s="182">
        <v>6</v>
      </c>
      <c r="D22" s="38" t="s">
        <v>32</v>
      </c>
      <c r="E22" s="108" t="s">
        <v>145</v>
      </c>
      <c r="F22" s="87" t="s">
        <v>28</v>
      </c>
      <c r="G22" s="136" t="s">
        <v>146</v>
      </c>
      <c r="H22" s="124">
        <f t="shared" si="0"/>
        <v>32.438888888888897</v>
      </c>
      <c r="I22" s="16"/>
    </row>
    <row r="23" spans="1:9" ht="30" customHeight="1">
      <c r="A23" s="117">
        <v>18</v>
      </c>
      <c r="B23" s="125" t="s">
        <v>107</v>
      </c>
      <c r="C23" s="181">
        <v>17</v>
      </c>
      <c r="D23" s="19" t="s">
        <v>31</v>
      </c>
      <c r="E23" s="126" t="s">
        <v>12</v>
      </c>
      <c r="F23" s="127" t="s">
        <v>127</v>
      </c>
      <c r="G23" s="126" t="s">
        <v>38</v>
      </c>
      <c r="H23" s="122">
        <f t="shared" si="0"/>
        <v>34.440277777777787</v>
      </c>
    </row>
    <row r="24" spans="1:9" ht="30" customHeight="1">
      <c r="A24" s="109">
        <v>19</v>
      </c>
      <c r="B24" s="105" t="s">
        <v>86</v>
      </c>
      <c r="C24" s="178">
        <v>18</v>
      </c>
      <c r="D24" s="21" t="s">
        <v>31</v>
      </c>
      <c r="E24" s="88" t="s">
        <v>12</v>
      </c>
      <c r="F24" s="89" t="s">
        <v>127</v>
      </c>
      <c r="G24" s="88" t="s">
        <v>77</v>
      </c>
      <c r="H24" s="110">
        <f t="shared" si="0"/>
        <v>36.441666666666677</v>
      </c>
    </row>
    <row r="25" spans="1:9" ht="30" customHeight="1">
      <c r="A25" s="109">
        <v>20</v>
      </c>
      <c r="B25" s="105" t="s">
        <v>87</v>
      </c>
      <c r="C25" s="178">
        <v>20</v>
      </c>
      <c r="D25" s="21" t="s">
        <v>31</v>
      </c>
      <c r="E25" s="88" t="s">
        <v>12</v>
      </c>
      <c r="F25" s="89" t="s">
        <v>128</v>
      </c>
      <c r="G25" s="88" t="s">
        <v>129</v>
      </c>
      <c r="H25" s="110">
        <f t="shared" si="0"/>
        <v>38.443055555555567</v>
      </c>
      <c r="I25" s="16"/>
    </row>
    <row r="26" spans="1:9" ht="30" customHeight="1">
      <c r="A26" s="109">
        <v>21</v>
      </c>
      <c r="B26" s="105" t="s">
        <v>108</v>
      </c>
      <c r="C26" s="178">
        <v>23</v>
      </c>
      <c r="D26" s="21" t="s">
        <v>31</v>
      </c>
      <c r="E26" s="88" t="s">
        <v>12</v>
      </c>
      <c r="F26" s="89" t="s">
        <v>130</v>
      </c>
      <c r="G26" s="88" t="s">
        <v>131</v>
      </c>
      <c r="H26" s="110">
        <f t="shared" si="0"/>
        <v>40.444444444444457</v>
      </c>
      <c r="I26" s="16"/>
    </row>
    <row r="27" spans="1:9" ht="30" customHeight="1">
      <c r="A27" s="109">
        <v>22</v>
      </c>
      <c r="B27" s="106" t="s">
        <v>140</v>
      </c>
      <c r="C27" s="178">
        <v>40</v>
      </c>
      <c r="D27" s="21" t="s">
        <v>31</v>
      </c>
      <c r="E27" s="88" t="s">
        <v>12</v>
      </c>
      <c r="F27" s="89" t="s">
        <v>127</v>
      </c>
      <c r="G27" s="88" t="s">
        <v>77</v>
      </c>
      <c r="H27" s="110">
        <f t="shared" si="0"/>
        <v>42.445833333333347</v>
      </c>
      <c r="I27" s="16"/>
    </row>
    <row r="28" spans="1:9" ht="30" customHeight="1">
      <c r="A28" s="109">
        <v>23</v>
      </c>
      <c r="B28" s="106" t="s">
        <v>141</v>
      </c>
      <c r="C28" s="178">
        <v>41</v>
      </c>
      <c r="D28" s="21" t="s">
        <v>31</v>
      </c>
      <c r="E28" s="88" t="s">
        <v>12</v>
      </c>
      <c r="F28" s="89" t="s">
        <v>73</v>
      </c>
      <c r="G28" s="88" t="s">
        <v>42</v>
      </c>
      <c r="H28" s="110">
        <f t="shared" si="0"/>
        <v>44.447222222222237</v>
      </c>
      <c r="I28" s="16"/>
    </row>
    <row r="29" spans="1:9" ht="30" customHeight="1">
      <c r="A29" s="109">
        <v>24</v>
      </c>
      <c r="B29" s="106" t="s">
        <v>110</v>
      </c>
      <c r="C29" s="178">
        <v>42</v>
      </c>
      <c r="D29" s="21" t="s">
        <v>31</v>
      </c>
      <c r="E29" s="88" t="s">
        <v>12</v>
      </c>
      <c r="F29" s="89" t="s">
        <v>41</v>
      </c>
      <c r="G29" s="88" t="s">
        <v>40</v>
      </c>
      <c r="H29" s="110">
        <f t="shared" si="0"/>
        <v>46.448611111111127</v>
      </c>
    </row>
    <row r="30" spans="1:9" ht="30" customHeight="1" thickBot="1">
      <c r="A30" s="123">
        <v>25</v>
      </c>
      <c r="B30" s="133" t="s">
        <v>144</v>
      </c>
      <c r="C30" s="179">
        <v>8</v>
      </c>
      <c r="D30" s="38" t="s">
        <v>31</v>
      </c>
      <c r="E30" s="108" t="s">
        <v>12</v>
      </c>
      <c r="F30" s="87" t="s">
        <v>143</v>
      </c>
      <c r="G30" s="108" t="s">
        <v>77</v>
      </c>
      <c r="H30" s="124">
        <f t="shared" si="0"/>
        <v>48.450000000000017</v>
      </c>
    </row>
    <row r="31" spans="1:9" ht="30" customHeight="1">
      <c r="A31" s="117">
        <v>26</v>
      </c>
      <c r="B31" s="125" t="s">
        <v>88</v>
      </c>
      <c r="C31" s="181">
        <v>5</v>
      </c>
      <c r="D31" s="19" t="s">
        <v>33</v>
      </c>
      <c r="E31" s="126" t="s">
        <v>14</v>
      </c>
      <c r="F31" s="127" t="s">
        <v>30</v>
      </c>
      <c r="G31" s="126" t="s">
        <v>78</v>
      </c>
      <c r="H31" s="122">
        <f t="shared" si="0"/>
        <v>50.451388888888907</v>
      </c>
    </row>
    <row r="32" spans="1:9" s="42" customFormat="1" ht="30" customHeight="1">
      <c r="A32" s="109">
        <v>27</v>
      </c>
      <c r="B32" s="105" t="s">
        <v>112</v>
      </c>
      <c r="C32" s="178">
        <v>12</v>
      </c>
      <c r="D32" s="21" t="s">
        <v>33</v>
      </c>
      <c r="E32" s="88" t="s">
        <v>14</v>
      </c>
      <c r="F32" s="89" t="s">
        <v>79</v>
      </c>
      <c r="G32" s="88" t="s">
        <v>77</v>
      </c>
      <c r="H32" s="110">
        <f t="shared" si="0"/>
        <v>52.452777777777797</v>
      </c>
    </row>
    <row r="33" spans="1:8" s="43" customFormat="1" ht="30" customHeight="1">
      <c r="A33" s="109">
        <v>28</v>
      </c>
      <c r="B33" s="105" t="s">
        <v>89</v>
      </c>
      <c r="C33" s="178">
        <v>14</v>
      </c>
      <c r="D33" s="21" t="s">
        <v>33</v>
      </c>
      <c r="E33" s="88" t="s">
        <v>14</v>
      </c>
      <c r="F33" s="89" t="s">
        <v>30</v>
      </c>
      <c r="G33" s="88" t="s">
        <v>35</v>
      </c>
      <c r="H33" s="110">
        <f t="shared" si="0"/>
        <v>54.454166666666687</v>
      </c>
    </row>
    <row r="34" spans="1:8" s="43" customFormat="1" ht="30" customHeight="1">
      <c r="A34" s="109">
        <v>29</v>
      </c>
      <c r="B34" s="105" t="s">
        <v>106</v>
      </c>
      <c r="C34" s="178">
        <v>28</v>
      </c>
      <c r="D34" s="21" t="s">
        <v>33</v>
      </c>
      <c r="E34" s="88" t="s">
        <v>14</v>
      </c>
      <c r="F34" s="89" t="s">
        <v>126</v>
      </c>
      <c r="G34" s="88" t="s">
        <v>42</v>
      </c>
      <c r="H34" s="110">
        <f t="shared" si="0"/>
        <v>56.455555555555577</v>
      </c>
    </row>
    <row r="35" spans="1:8" s="43" customFormat="1" ht="30" customHeight="1" thickBot="1">
      <c r="A35" s="123">
        <v>30</v>
      </c>
      <c r="B35" s="107" t="s">
        <v>94</v>
      </c>
      <c r="C35" s="179">
        <v>19</v>
      </c>
      <c r="D35" s="38" t="s">
        <v>33</v>
      </c>
      <c r="E35" s="108" t="s">
        <v>125</v>
      </c>
      <c r="F35" s="87" t="s">
        <v>30</v>
      </c>
      <c r="G35" s="108" t="s">
        <v>35</v>
      </c>
      <c r="H35" s="124">
        <f t="shared" si="0"/>
        <v>58.456944444444467</v>
      </c>
    </row>
    <row r="36" spans="1:8" ht="30" customHeight="1">
      <c r="A36" s="117">
        <v>31</v>
      </c>
      <c r="B36" s="125" t="s">
        <v>138</v>
      </c>
      <c r="C36" s="181">
        <v>2</v>
      </c>
      <c r="D36" s="19" t="s">
        <v>95</v>
      </c>
      <c r="E36" s="126" t="s">
        <v>121</v>
      </c>
      <c r="F36" s="127" t="s">
        <v>123</v>
      </c>
      <c r="G36" s="126" t="s">
        <v>77</v>
      </c>
      <c r="H36" s="122">
        <f t="shared" si="0"/>
        <v>60.458333333333357</v>
      </c>
    </row>
    <row r="37" spans="1:8" ht="30" customHeight="1">
      <c r="A37" s="109">
        <v>32</v>
      </c>
      <c r="B37" s="105" t="s">
        <v>47</v>
      </c>
      <c r="C37" s="178">
        <v>3</v>
      </c>
      <c r="D37" s="21" t="s">
        <v>95</v>
      </c>
      <c r="E37" s="88" t="s">
        <v>121</v>
      </c>
      <c r="F37" s="89" t="s">
        <v>80</v>
      </c>
      <c r="G37" s="88" t="s">
        <v>38</v>
      </c>
      <c r="H37" s="110">
        <f t="shared" si="0"/>
        <v>62.459722222222247</v>
      </c>
    </row>
    <row r="38" spans="1:8" ht="30" customHeight="1">
      <c r="A38" s="109">
        <v>33</v>
      </c>
      <c r="B38" s="105" t="s">
        <v>104</v>
      </c>
      <c r="C38" s="178">
        <v>4</v>
      </c>
      <c r="D38" s="21" t="s">
        <v>95</v>
      </c>
      <c r="E38" s="88" t="s">
        <v>121</v>
      </c>
      <c r="F38" s="89" t="s">
        <v>80</v>
      </c>
      <c r="G38" s="88" t="s">
        <v>38</v>
      </c>
      <c r="H38" s="110">
        <f t="shared" si="0"/>
        <v>64.461111111111137</v>
      </c>
    </row>
    <row r="39" spans="1:8" ht="30" customHeight="1">
      <c r="A39" s="109">
        <v>34</v>
      </c>
      <c r="B39" s="105" t="s">
        <v>46</v>
      </c>
      <c r="C39" s="178">
        <v>9</v>
      </c>
      <c r="D39" s="21" t="s">
        <v>95</v>
      </c>
      <c r="E39" s="88" t="s">
        <v>121</v>
      </c>
      <c r="F39" s="89" t="s">
        <v>123</v>
      </c>
      <c r="G39" s="88" t="s">
        <v>76</v>
      </c>
      <c r="H39" s="110">
        <f t="shared" si="0"/>
        <v>66.46250000000002</v>
      </c>
    </row>
    <row r="40" spans="1:8" ht="30" customHeight="1">
      <c r="A40" s="109">
        <v>35</v>
      </c>
      <c r="B40" s="105" t="s">
        <v>105</v>
      </c>
      <c r="C40" s="178">
        <v>10</v>
      </c>
      <c r="D40" s="21" t="s">
        <v>95</v>
      </c>
      <c r="E40" s="88" t="s">
        <v>121</v>
      </c>
      <c r="F40" s="89" t="s">
        <v>124</v>
      </c>
      <c r="G40" s="88" t="s">
        <v>39</v>
      </c>
      <c r="H40" s="110">
        <f t="shared" si="0"/>
        <v>68.463888888888903</v>
      </c>
    </row>
    <row r="41" spans="1:8" ht="30" customHeight="1">
      <c r="A41" s="109">
        <v>36</v>
      </c>
      <c r="B41" s="105" t="s">
        <v>91</v>
      </c>
      <c r="C41" s="178">
        <v>11</v>
      </c>
      <c r="D41" s="21" t="s">
        <v>95</v>
      </c>
      <c r="E41" s="88" t="s">
        <v>121</v>
      </c>
      <c r="F41" s="89" t="s">
        <v>120</v>
      </c>
      <c r="G41" s="88" t="s">
        <v>39</v>
      </c>
      <c r="H41" s="110">
        <f t="shared" si="0"/>
        <v>70.465277777777786</v>
      </c>
    </row>
    <row r="42" spans="1:8" ht="30" customHeight="1">
      <c r="A42" s="109">
        <v>37</v>
      </c>
      <c r="B42" s="105" t="s">
        <v>103</v>
      </c>
      <c r="C42" s="178">
        <v>15</v>
      </c>
      <c r="D42" s="21" t="s">
        <v>95</v>
      </c>
      <c r="E42" s="88" t="s">
        <v>121</v>
      </c>
      <c r="F42" s="89" t="s">
        <v>80</v>
      </c>
      <c r="G42" s="88" t="s">
        <v>77</v>
      </c>
      <c r="H42" s="110">
        <f t="shared" si="0"/>
        <v>72.466666666666669</v>
      </c>
    </row>
    <row r="43" spans="1:8" ht="30" customHeight="1">
      <c r="A43" s="109">
        <v>38</v>
      </c>
      <c r="B43" s="105" t="s">
        <v>92</v>
      </c>
      <c r="C43" s="178">
        <v>16</v>
      </c>
      <c r="D43" s="21" t="s">
        <v>95</v>
      </c>
      <c r="E43" s="88" t="s">
        <v>121</v>
      </c>
      <c r="F43" s="89" t="s">
        <v>80</v>
      </c>
      <c r="G43" s="88" t="s">
        <v>38</v>
      </c>
      <c r="H43" s="110">
        <f t="shared" si="0"/>
        <v>74.468055555555551</v>
      </c>
    </row>
    <row r="44" spans="1:8" ht="30" customHeight="1">
      <c r="A44" s="109">
        <v>39</v>
      </c>
      <c r="B44" s="105" t="s">
        <v>136</v>
      </c>
      <c r="C44" s="178">
        <v>25</v>
      </c>
      <c r="D44" s="21" t="s">
        <v>95</v>
      </c>
      <c r="E44" s="86" t="s">
        <v>121</v>
      </c>
      <c r="F44" s="89" t="s">
        <v>120</v>
      </c>
      <c r="G44" s="88" t="s">
        <v>42</v>
      </c>
      <c r="H44" s="110">
        <f t="shared" si="0"/>
        <v>76.469444444444434</v>
      </c>
    </row>
    <row r="45" spans="1:8" s="43" customFormat="1" ht="30" customHeight="1">
      <c r="A45" s="109">
        <v>40</v>
      </c>
      <c r="B45" s="105" t="s">
        <v>117</v>
      </c>
      <c r="C45" s="178">
        <v>26</v>
      </c>
      <c r="D45" s="21" t="s">
        <v>95</v>
      </c>
      <c r="E45" s="88" t="s">
        <v>121</v>
      </c>
      <c r="F45" s="89" t="s">
        <v>124</v>
      </c>
      <c r="G45" s="88" t="s">
        <v>40</v>
      </c>
      <c r="H45" s="110">
        <f t="shared" si="0"/>
        <v>78.470833333333317</v>
      </c>
    </row>
    <row r="46" spans="1:8" ht="28.5">
      <c r="A46" s="109">
        <v>41</v>
      </c>
      <c r="B46" s="105" t="s">
        <v>137</v>
      </c>
      <c r="C46" s="178">
        <v>29</v>
      </c>
      <c r="D46" s="21" t="s">
        <v>95</v>
      </c>
      <c r="E46" s="88" t="s">
        <v>121</v>
      </c>
      <c r="F46" s="89" t="s">
        <v>81</v>
      </c>
      <c r="G46" s="88" t="s">
        <v>40</v>
      </c>
      <c r="H46" s="110">
        <f t="shared" si="0"/>
        <v>80.4722222222222</v>
      </c>
    </row>
    <row r="47" spans="1:8" ht="28.5">
      <c r="A47" s="109">
        <v>42</v>
      </c>
      <c r="B47" s="105" t="s">
        <v>93</v>
      </c>
      <c r="C47" s="178">
        <v>36</v>
      </c>
      <c r="D47" s="21" t="s">
        <v>95</v>
      </c>
      <c r="E47" s="88" t="s">
        <v>121</v>
      </c>
      <c r="F47" s="89" t="s">
        <v>120</v>
      </c>
      <c r="G47" s="88" t="s">
        <v>35</v>
      </c>
      <c r="H47" s="110">
        <f t="shared" si="0"/>
        <v>82.473611111111083</v>
      </c>
    </row>
    <row r="48" spans="1:8" ht="29.25" thickBot="1">
      <c r="A48" s="111">
        <v>43</v>
      </c>
      <c r="B48" s="112" t="s">
        <v>90</v>
      </c>
      <c r="C48" s="183">
        <v>38</v>
      </c>
      <c r="D48" s="114" t="s">
        <v>95</v>
      </c>
      <c r="E48" s="113" t="s">
        <v>121</v>
      </c>
      <c r="F48" s="115" t="s">
        <v>122</v>
      </c>
      <c r="G48" s="113" t="s">
        <v>39</v>
      </c>
      <c r="H48" s="116">
        <f t="shared" si="0"/>
        <v>84.474999999999966</v>
      </c>
    </row>
    <row r="49" ht="18.75" thickTop="1"/>
  </sheetData>
  <autoFilter ref="A5:H48">
    <filterColumn colId="3" showButton="0"/>
  </autoFilter>
  <sortState ref="B6:G35">
    <sortCondition descending="1" ref="E6:E46"/>
    <sortCondition ref="C6:C46"/>
  </sortState>
  <mergeCells count="4">
    <mergeCell ref="A4:F4"/>
    <mergeCell ref="A1:D1"/>
    <mergeCell ref="A2:D2"/>
    <mergeCell ref="A3:D3"/>
  </mergeCells>
  <printOptions horizontalCentered="1"/>
  <pageMargins left="0.19685039370078741" right="0.19685039370078741" top="0.15748031496062992" bottom="0.15748031496062992" header="0.15748031496062992" footer="0.11811023622047245"/>
  <pageSetup paperSize="9" scale="83" fitToHeight="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zoomScale="82" zoomScaleNormal="82" workbookViewId="0">
      <selection activeCell="U43" sqref="U43"/>
    </sheetView>
  </sheetViews>
  <sheetFormatPr defaultRowHeight="18"/>
  <cols>
    <col min="1" max="1" width="4.85546875" style="30" customWidth="1"/>
    <col min="2" max="2" width="30.42578125" style="28" bestFit="1" customWidth="1"/>
    <col min="3" max="3" width="6.140625" style="49" bestFit="1" customWidth="1"/>
    <col min="4" max="4" width="8.140625" style="2" customWidth="1"/>
    <col min="5" max="5" width="8.28515625" style="2" customWidth="1"/>
    <col min="6" max="6" width="20.5703125" style="3" customWidth="1"/>
    <col min="7" max="7" width="21" style="3" customWidth="1"/>
    <col min="8" max="17" width="8.5703125" style="23" customWidth="1"/>
    <col min="18" max="18" width="9.42578125" style="27" customWidth="1"/>
    <col min="19" max="19" width="15.28515625" style="4" customWidth="1"/>
    <col min="20" max="20" width="9" style="28" customWidth="1"/>
    <col min="21" max="16384" width="9.140625" style="28"/>
  </cols>
  <sheetData>
    <row r="1" spans="1:21" ht="25.5">
      <c r="A1" s="204" t="s">
        <v>15</v>
      </c>
      <c r="B1" s="204"/>
      <c r="C1" s="204"/>
      <c r="D1" s="204"/>
      <c r="E1" s="204"/>
      <c r="F1" s="204"/>
      <c r="G1" s="207" t="s">
        <v>153</v>
      </c>
      <c r="H1" s="207"/>
      <c r="I1" s="207"/>
      <c r="J1" s="207"/>
      <c r="K1" s="207"/>
      <c r="L1" s="207"/>
      <c r="M1" s="207"/>
      <c r="N1" s="207"/>
      <c r="O1" s="207"/>
      <c r="P1" s="207"/>
      <c r="S1" s="51" t="s">
        <v>16</v>
      </c>
    </row>
    <row r="2" spans="1:21" ht="25.5">
      <c r="A2" s="204" t="s">
        <v>151</v>
      </c>
      <c r="B2" s="204"/>
      <c r="C2" s="204"/>
      <c r="D2" s="204"/>
      <c r="E2" s="204"/>
      <c r="F2" s="204"/>
      <c r="G2" s="92"/>
      <c r="H2" s="92"/>
      <c r="I2" s="92"/>
      <c r="J2" s="92"/>
      <c r="K2" s="92"/>
      <c r="L2" s="92"/>
      <c r="M2" s="92"/>
      <c r="N2" s="92"/>
      <c r="O2" s="92"/>
      <c r="P2" s="50"/>
      <c r="S2" s="51" t="s">
        <v>17</v>
      </c>
    </row>
    <row r="3" spans="1:21" ht="23.25">
      <c r="A3" s="204" t="s">
        <v>150</v>
      </c>
      <c r="B3" s="204"/>
      <c r="C3" s="204"/>
      <c r="D3" s="204"/>
      <c r="E3" s="204"/>
      <c r="F3" s="204"/>
      <c r="G3" s="206" t="s">
        <v>34</v>
      </c>
      <c r="H3" s="206"/>
      <c r="I3" s="206"/>
      <c r="J3" s="206"/>
      <c r="K3" s="206"/>
      <c r="L3" s="206"/>
      <c r="M3" s="206"/>
      <c r="N3" s="206"/>
      <c r="O3" s="206"/>
      <c r="P3" s="206"/>
      <c r="Q3" s="9"/>
      <c r="S3" s="17" t="s">
        <v>102</v>
      </c>
    </row>
    <row r="4" spans="1:21" ht="23.25" thickBot="1">
      <c r="A4" s="202"/>
      <c r="B4" s="202"/>
      <c r="C4" s="202"/>
      <c r="D4" s="202"/>
      <c r="E4" s="202"/>
      <c r="F4" s="203"/>
      <c r="G4" s="9"/>
      <c r="H4" s="93"/>
      <c r="I4" s="93"/>
      <c r="J4" s="29"/>
      <c r="K4" s="29"/>
      <c r="L4" s="29"/>
      <c r="M4" s="29"/>
      <c r="N4" s="29"/>
      <c r="Q4" s="9"/>
      <c r="S4" s="10"/>
    </row>
    <row r="5" spans="1:21" ht="33" thickTop="1" thickBot="1">
      <c r="A5" s="146" t="s">
        <v>148</v>
      </c>
      <c r="B5" s="147" t="s">
        <v>18</v>
      </c>
      <c r="C5" s="148" t="s">
        <v>19</v>
      </c>
      <c r="D5" s="208" t="s">
        <v>20</v>
      </c>
      <c r="E5" s="209"/>
      <c r="F5" s="149" t="s">
        <v>0</v>
      </c>
      <c r="G5" s="150" t="s">
        <v>21</v>
      </c>
      <c r="H5" s="149" t="s">
        <v>2</v>
      </c>
      <c r="I5" s="149" t="s">
        <v>3</v>
      </c>
      <c r="J5" s="149" t="s">
        <v>4</v>
      </c>
      <c r="K5" s="149" t="s">
        <v>5</v>
      </c>
      <c r="L5" s="149" t="s">
        <v>6</v>
      </c>
      <c r="M5" s="149" t="s">
        <v>7</v>
      </c>
      <c r="N5" s="149" t="s">
        <v>8</v>
      </c>
      <c r="O5" s="149" t="s">
        <v>9</v>
      </c>
      <c r="P5" s="149" t="s">
        <v>10</v>
      </c>
      <c r="Q5" s="151" t="s">
        <v>37</v>
      </c>
      <c r="R5" s="152" t="s">
        <v>1</v>
      </c>
      <c r="S5" s="153" t="s">
        <v>22</v>
      </c>
      <c r="U5" s="96"/>
    </row>
    <row r="6" spans="1:21" ht="30">
      <c r="A6" s="162">
        <v>1</v>
      </c>
      <c r="B6" s="18" t="str">
        <f>'LISTA STARTOWA 09'!B8</f>
        <v>Wilusz Marcin
Kubit Gabriel</v>
      </c>
      <c r="C6" s="47">
        <f>'LISTA STARTOWA 09'!C8</f>
        <v>30</v>
      </c>
      <c r="D6" s="47" t="str">
        <f>'LISTA STARTOWA 09'!D8</f>
        <v>GOŚĆ</v>
      </c>
      <c r="E6" s="44" t="str">
        <f>'LISTA STARTOWA 09'!E8</f>
        <v>Gość</v>
      </c>
      <c r="F6" s="44" t="str">
        <f>'LISTA STARTOWA 09'!F8</f>
        <v>Renault Clio</v>
      </c>
      <c r="G6" s="44" t="str">
        <f>'LISTA STARTOWA 09'!G8</f>
        <v>AMK Małopolski</v>
      </c>
      <c r="H6" s="145">
        <v>73.900000000000006</v>
      </c>
      <c r="I6" s="20">
        <v>82.12</v>
      </c>
      <c r="J6" s="20">
        <v>70.98</v>
      </c>
      <c r="K6" s="20">
        <v>72.3</v>
      </c>
      <c r="L6" s="20">
        <v>79.75</v>
      </c>
      <c r="M6" s="20">
        <v>71.19</v>
      </c>
      <c r="N6" s="200">
        <f>73.63+5</f>
        <v>78.63</v>
      </c>
      <c r="O6" s="20">
        <v>81.14</v>
      </c>
      <c r="P6" s="20">
        <v>70.069999999999993</v>
      </c>
      <c r="Q6" s="20"/>
      <c r="R6" s="35">
        <f t="shared" ref="R6:R11" si="0">SUM(H6:Q6)</f>
        <v>680.07999999999993</v>
      </c>
      <c r="S6" s="163">
        <v>1</v>
      </c>
    </row>
    <row r="7" spans="1:21" ht="30">
      <c r="A7" s="164">
        <v>2</v>
      </c>
      <c r="B7" s="24" t="str">
        <f>'LISTA STARTOWA 09'!B7</f>
        <v>Kalczyński Szymon
Kalczyński Mieczysław</v>
      </c>
      <c r="C7" s="39">
        <f>'LISTA STARTOWA 09'!C7</f>
        <v>24</v>
      </c>
      <c r="D7" s="39" t="str">
        <f>'LISTA STARTOWA 09'!D7</f>
        <v>GOŚĆ</v>
      </c>
      <c r="E7" s="25" t="str">
        <f>'LISTA STARTOWA 09'!E7</f>
        <v>Gość</v>
      </c>
      <c r="F7" s="25" t="str">
        <f>'LISTA STARTOWA 09'!F7</f>
        <v>Peugeot 106</v>
      </c>
      <c r="G7" s="25" t="str">
        <f>'LISTA STARTOWA 09'!G7</f>
        <v>AK Śląski</v>
      </c>
      <c r="H7" s="143">
        <v>79.45</v>
      </c>
      <c r="I7" s="26">
        <v>86.8</v>
      </c>
      <c r="J7" s="26">
        <v>75.72</v>
      </c>
      <c r="K7" s="26">
        <v>77.58</v>
      </c>
      <c r="L7" s="26">
        <v>86.66</v>
      </c>
      <c r="M7" s="26">
        <v>75.59</v>
      </c>
      <c r="N7" s="26">
        <v>78.959999999999994</v>
      </c>
      <c r="O7" s="26">
        <v>83.61</v>
      </c>
      <c r="P7" s="26">
        <v>75.97</v>
      </c>
      <c r="Q7" s="26"/>
      <c r="R7" s="35">
        <f t="shared" si="0"/>
        <v>720.34000000000015</v>
      </c>
      <c r="S7" s="165">
        <v>2</v>
      </c>
    </row>
    <row r="8" spans="1:21" ht="30.75" thickBot="1">
      <c r="A8" s="166">
        <v>3</v>
      </c>
      <c r="B8" s="37" t="str">
        <f>'LISTA STARTOWA 09'!B6</f>
        <v>Mazurek Eliasz
Smagała Jerzy</v>
      </c>
      <c r="C8" s="90">
        <f>'LISTA STARTOWA 09'!C6</f>
        <v>22</v>
      </c>
      <c r="D8" s="90" t="str">
        <f>'LISTA STARTOWA 09'!D6</f>
        <v>GOŚĆ</v>
      </c>
      <c r="E8" s="91" t="str">
        <f>'LISTA STARTOWA 09'!E6</f>
        <v>Gość</v>
      </c>
      <c r="F8" s="91" t="str">
        <f>'LISTA STARTOWA 09'!F6</f>
        <v>Peugeot 106</v>
      </c>
      <c r="G8" s="91" t="str">
        <f>'LISTA STARTOWA 09'!G6</f>
        <v>AK Chełmski</v>
      </c>
      <c r="H8" s="201">
        <f>79.89+5+5+5</f>
        <v>94.89</v>
      </c>
      <c r="I8" s="56">
        <v>90.65</v>
      </c>
      <c r="J8" s="56">
        <v>77.069999999999993</v>
      </c>
      <c r="K8" s="56">
        <v>79.91</v>
      </c>
      <c r="L8" s="56">
        <v>90.13</v>
      </c>
      <c r="M8" s="56">
        <v>77.05</v>
      </c>
      <c r="N8" s="56">
        <v>76.489999999999995</v>
      </c>
      <c r="O8" s="56">
        <v>86.56</v>
      </c>
      <c r="P8" s="199">
        <f>78.82+5</f>
        <v>83.82</v>
      </c>
      <c r="Q8" s="56"/>
      <c r="R8" s="55">
        <f t="shared" si="0"/>
        <v>756.56999999999994</v>
      </c>
      <c r="S8" s="167">
        <v>3</v>
      </c>
    </row>
    <row r="9" spans="1:21" ht="30">
      <c r="A9" s="168">
        <v>4</v>
      </c>
      <c r="B9" s="45" t="str">
        <f>'LISTA STARTOWA 09'!B9</f>
        <v>Leśniak Sebastian
Tomecki Krzysztof</v>
      </c>
      <c r="C9" s="52">
        <f>'LISTA STARTOWA 09'!C9</f>
        <v>31</v>
      </c>
      <c r="D9" s="52" t="str">
        <f>'LISTA STARTOWA 09'!D9</f>
        <v>K 4</v>
      </c>
      <c r="E9" s="53" t="str">
        <f>'LISTA STARTOWA 09'!E9</f>
        <v>&gt;2000</v>
      </c>
      <c r="F9" s="53" t="str">
        <f>'LISTA STARTOWA 09'!F9</f>
        <v>BMW 330 Ti</v>
      </c>
      <c r="G9" s="53" t="str">
        <f>'LISTA STARTOWA 09'!G9</f>
        <v>A Mielecki</v>
      </c>
      <c r="H9" s="142">
        <v>70.08</v>
      </c>
      <c r="I9" s="54">
        <v>79.98</v>
      </c>
      <c r="J9" s="54">
        <v>70.349999999999994</v>
      </c>
      <c r="K9" s="54">
        <v>69.75</v>
      </c>
      <c r="L9" s="54">
        <v>79.03</v>
      </c>
      <c r="M9" s="54">
        <v>70.06</v>
      </c>
      <c r="N9" s="54">
        <v>70.87</v>
      </c>
      <c r="O9" s="54">
        <v>80.41</v>
      </c>
      <c r="P9" s="54">
        <v>71.569999999999993</v>
      </c>
      <c r="Q9" s="54"/>
      <c r="R9" s="22">
        <f t="shared" si="0"/>
        <v>662.09999999999991</v>
      </c>
      <c r="S9" s="169">
        <v>1</v>
      </c>
    </row>
    <row r="10" spans="1:21" ht="30">
      <c r="A10" s="164">
        <v>5</v>
      </c>
      <c r="B10" s="24" t="str">
        <f>'LISTA STARTOWA 09'!B12</f>
        <v>Zieliński Mariusz
Chlebowski Ryszard</v>
      </c>
      <c r="C10" s="39">
        <f>'LISTA STARTOWA 09'!C12</f>
        <v>37</v>
      </c>
      <c r="D10" s="39" t="str">
        <f>'LISTA STARTOWA 09'!D12</f>
        <v>K 4</v>
      </c>
      <c r="E10" s="25" t="str">
        <f>'LISTA STARTOWA 09'!E12</f>
        <v>&gt;2000</v>
      </c>
      <c r="F10" s="25" t="str">
        <f>'LISTA STARTOWA 09'!F12</f>
        <v>Subaru Impreza</v>
      </c>
      <c r="G10" s="25" t="str">
        <f>'LISTA STARTOWA 09'!G12</f>
        <v>A Mielecki</v>
      </c>
      <c r="H10" s="143">
        <v>69.89</v>
      </c>
      <c r="I10" s="26">
        <v>79.39</v>
      </c>
      <c r="J10" s="26">
        <v>69.959999999999994</v>
      </c>
      <c r="K10" s="26">
        <v>73.400000000000006</v>
      </c>
      <c r="L10" s="26">
        <v>78.510000000000005</v>
      </c>
      <c r="M10" s="26">
        <v>68.56</v>
      </c>
      <c r="N10" s="26">
        <v>71.56</v>
      </c>
      <c r="O10" s="194">
        <f>79.68+5</f>
        <v>84.68</v>
      </c>
      <c r="P10" s="26">
        <v>69.61</v>
      </c>
      <c r="Q10" s="26"/>
      <c r="R10" s="35">
        <f t="shared" si="0"/>
        <v>665.56000000000006</v>
      </c>
      <c r="S10" s="165">
        <v>2</v>
      </c>
    </row>
    <row r="11" spans="1:21" ht="30">
      <c r="A11" s="164">
        <v>6</v>
      </c>
      <c r="B11" s="24" t="str">
        <f>'LISTA STARTOWA 09'!B10</f>
        <v>Piejko Wojciech
Mroszczyk Adrian</v>
      </c>
      <c r="C11" s="39">
        <f>'LISTA STARTOWA 09'!C10</f>
        <v>32</v>
      </c>
      <c r="D11" s="39" t="str">
        <f>'LISTA STARTOWA 09'!D10</f>
        <v>K 4</v>
      </c>
      <c r="E11" s="25" t="str">
        <f>'LISTA STARTOWA 09'!E10</f>
        <v>&gt;2000</v>
      </c>
      <c r="F11" s="25" t="str">
        <f>'LISTA STARTOWA 09'!F10</f>
        <v>Subaru Impreza</v>
      </c>
      <c r="G11" s="25" t="str">
        <f>'LISTA STARTOWA 09'!G10</f>
        <v>AK Rzeszowski</v>
      </c>
      <c r="H11" s="26">
        <v>76.510000000000005</v>
      </c>
      <c r="I11" s="26">
        <v>85.24</v>
      </c>
      <c r="J11" s="26">
        <v>72.91</v>
      </c>
      <c r="K11" s="26">
        <v>77.790000000000006</v>
      </c>
      <c r="L11" s="26">
        <v>84.86</v>
      </c>
      <c r="M11" s="26">
        <v>73.52</v>
      </c>
      <c r="N11" s="194">
        <f>78.43+5</f>
        <v>83.43</v>
      </c>
      <c r="O11" s="26">
        <v>87.74</v>
      </c>
      <c r="P11" s="26">
        <v>75.19</v>
      </c>
      <c r="Q11" s="26"/>
      <c r="R11" s="35">
        <f t="shared" si="0"/>
        <v>717.19</v>
      </c>
      <c r="S11" s="165">
        <v>3</v>
      </c>
    </row>
    <row r="12" spans="1:21" ht="30">
      <c r="A12" s="164">
        <v>7</v>
      </c>
      <c r="B12" s="24" t="str">
        <f>'LISTA STARTOWA 09'!B13</f>
        <v>Grzelak Marek
Letnioweski Dominik</v>
      </c>
      <c r="C12" s="39">
        <f>'LISTA STARTOWA 09'!C13</f>
        <v>43</v>
      </c>
      <c r="D12" s="39" t="str">
        <f>'LISTA STARTOWA 09'!D13</f>
        <v>K 4</v>
      </c>
      <c r="E12" s="25" t="str">
        <f>'LISTA STARTOWA 09'!E13</f>
        <v>&gt;2000</v>
      </c>
      <c r="F12" s="25" t="str">
        <f>'LISTA STARTOWA 09'!F13</f>
        <v>BMW 330</v>
      </c>
      <c r="G12" s="25" t="str">
        <f>'LISTA STARTOWA 09'!G13</f>
        <v>A Mielecki</v>
      </c>
      <c r="H12" s="193">
        <f>73.73+5</f>
        <v>78.73</v>
      </c>
      <c r="I12" s="26">
        <v>82.66</v>
      </c>
      <c r="J12" s="26">
        <v>73.349999999999994</v>
      </c>
      <c r="K12" s="194">
        <f>74.62+10</f>
        <v>84.62</v>
      </c>
      <c r="L12" s="26" t="s">
        <v>66</v>
      </c>
      <c r="M12" s="26" t="s">
        <v>66</v>
      </c>
      <c r="N12" s="26" t="s">
        <v>66</v>
      </c>
      <c r="O12" s="26" t="s">
        <v>66</v>
      </c>
      <c r="P12" s="26" t="s">
        <v>66</v>
      </c>
      <c r="Q12" s="26">
        <f>9*60</f>
        <v>540</v>
      </c>
      <c r="R12" s="26" t="s">
        <v>66</v>
      </c>
      <c r="S12" s="165" t="s">
        <v>66</v>
      </c>
    </row>
    <row r="13" spans="1:21" ht="30.75" thickBot="1">
      <c r="A13" s="170">
        <v>8</v>
      </c>
      <c r="B13" s="37" t="str">
        <f>'LISTA STARTOWA 09'!B11</f>
        <v>Kudłacz Piotr
Szerszeń Rafał</v>
      </c>
      <c r="C13" s="90">
        <f>'LISTA STARTOWA 09'!C11</f>
        <v>34</v>
      </c>
      <c r="D13" s="90" t="str">
        <f>'LISTA STARTOWA 09'!D11</f>
        <v>K 4</v>
      </c>
      <c r="E13" s="91" t="str">
        <f>'LISTA STARTOWA 09'!E11</f>
        <v>&gt;2000</v>
      </c>
      <c r="F13" s="91" t="str">
        <f>'LISTA STARTOWA 09'!F11</f>
        <v>Mitsubishi Lancer</v>
      </c>
      <c r="G13" s="91" t="str">
        <f>'LISTA STARTOWA 09'!G11</f>
        <v>AK Stomil Dębica</v>
      </c>
      <c r="H13" s="144">
        <v>72.61</v>
      </c>
      <c r="I13" s="36">
        <v>80.62</v>
      </c>
      <c r="J13" s="36" t="s">
        <v>66</v>
      </c>
      <c r="K13" s="26" t="s">
        <v>66</v>
      </c>
      <c r="L13" s="26" t="s">
        <v>66</v>
      </c>
      <c r="M13" s="26" t="s">
        <v>66</v>
      </c>
      <c r="N13" s="26" t="s">
        <v>66</v>
      </c>
      <c r="O13" s="26" t="s">
        <v>66</v>
      </c>
      <c r="P13" s="26" t="s">
        <v>66</v>
      </c>
      <c r="Q13" s="36" t="s">
        <v>66</v>
      </c>
      <c r="R13" s="36" t="s">
        <v>66</v>
      </c>
      <c r="S13" s="171" t="s">
        <v>66</v>
      </c>
    </row>
    <row r="14" spans="1:21" ht="30">
      <c r="A14" s="168">
        <v>9</v>
      </c>
      <c r="B14" s="45" t="str">
        <f>'LISTA STARTOWA 09'!B16</f>
        <v>Olszewski Grzegorz
Patla Łukasz</v>
      </c>
      <c r="C14" s="52">
        <f>'LISTA STARTOWA 09'!C16</f>
        <v>21</v>
      </c>
      <c r="D14" s="52" t="str">
        <f>'LISTA STARTOWA 09'!D16</f>
        <v>K 3</v>
      </c>
      <c r="E14" s="53" t="str">
        <f>'LISTA STARTOWA 09'!E16</f>
        <v>&lt;2000</v>
      </c>
      <c r="F14" s="53" t="str">
        <f>'LISTA STARTOWA 09'!F16</f>
        <v>Opel Astra GSI</v>
      </c>
      <c r="G14" s="53" t="str">
        <f>'LISTA STARTOWA 09'!G16</f>
        <v>AK Stomil Dębica</v>
      </c>
      <c r="H14" s="142">
        <v>75.150000000000006</v>
      </c>
      <c r="I14" s="54">
        <v>82.22</v>
      </c>
      <c r="J14" s="54">
        <v>72.75</v>
      </c>
      <c r="K14" s="196">
        <f>74.18+5</f>
        <v>79.180000000000007</v>
      </c>
      <c r="L14" s="54">
        <v>82.12</v>
      </c>
      <c r="M14" s="54">
        <v>73.819999999999993</v>
      </c>
      <c r="N14" s="54">
        <v>73.599999999999994</v>
      </c>
      <c r="O14" s="54">
        <v>82.06</v>
      </c>
      <c r="P14" s="54">
        <v>73.290000000000006</v>
      </c>
      <c r="Q14" s="54"/>
      <c r="R14" s="22">
        <f t="shared" ref="R14:R29" si="1">SUM(H14:Q14)</f>
        <v>694.19</v>
      </c>
      <c r="S14" s="169">
        <v>1</v>
      </c>
    </row>
    <row r="15" spans="1:21" ht="30">
      <c r="A15" s="164">
        <v>10</v>
      </c>
      <c r="B15" s="24" t="str">
        <f>'LISTA STARTOWA 09'!B18</f>
        <v>Ważny Grzegorz
Czekaj Mateusz</v>
      </c>
      <c r="C15" s="39">
        <f>'LISTA STARTOWA 09'!C18</f>
        <v>33</v>
      </c>
      <c r="D15" s="39" t="str">
        <f>'LISTA STARTOWA 09'!D18</f>
        <v>K 3</v>
      </c>
      <c r="E15" s="25" t="str">
        <f>'LISTA STARTOWA 09'!E18</f>
        <v>&lt;2000</v>
      </c>
      <c r="F15" s="25" t="str">
        <f>'LISTA STARTOWA 09'!F18</f>
        <v>VW Golf</v>
      </c>
      <c r="G15" s="25" t="str">
        <f>'LISTA STARTOWA 09'!G18</f>
        <v>AK Rzeszowski</v>
      </c>
      <c r="H15" s="143">
        <v>73.239999999999995</v>
      </c>
      <c r="I15" s="26">
        <v>82.85</v>
      </c>
      <c r="J15" s="26">
        <v>74.239999999999995</v>
      </c>
      <c r="K15" s="26">
        <v>72.930000000000007</v>
      </c>
      <c r="L15" s="26">
        <v>81.459999999999994</v>
      </c>
      <c r="M15" s="26">
        <v>74.239999999999995</v>
      </c>
      <c r="N15" s="194">
        <f>74.62+5</f>
        <v>79.62</v>
      </c>
      <c r="O15" s="26">
        <v>82.19</v>
      </c>
      <c r="P15" s="26">
        <v>75.55</v>
      </c>
      <c r="Q15" s="26"/>
      <c r="R15" s="35">
        <f t="shared" si="1"/>
        <v>696.31999999999994</v>
      </c>
      <c r="S15" s="165">
        <v>2</v>
      </c>
    </row>
    <row r="16" spans="1:21" ht="30">
      <c r="A16" s="164">
        <v>11</v>
      </c>
      <c r="B16" s="24" t="str">
        <f>'LISTA STARTOWA 09'!B21</f>
        <v>Woś Wojciech
Sułek Adam</v>
      </c>
      <c r="C16" s="39">
        <f>'LISTA STARTOWA 09'!C21</f>
        <v>44</v>
      </c>
      <c r="D16" s="39" t="str">
        <f>'LISTA STARTOWA 09'!D21</f>
        <v>K 3</v>
      </c>
      <c r="E16" s="25" t="str">
        <f>'LISTA STARTOWA 09'!E21</f>
        <v>&lt;2000</v>
      </c>
      <c r="F16" s="25" t="str">
        <f>'LISTA STARTOWA 09'!F21</f>
        <v>Honda CRX</v>
      </c>
      <c r="G16" s="25" t="str">
        <f>'LISTA STARTOWA 09'!G21</f>
        <v>MK Team Kielce</v>
      </c>
      <c r="H16" s="193">
        <f>75.1+5+5</f>
        <v>85.1</v>
      </c>
      <c r="I16" s="26">
        <v>85.5</v>
      </c>
      <c r="J16" s="26">
        <v>70.19</v>
      </c>
      <c r="K16" s="194">
        <f>74.03+5</f>
        <v>79.03</v>
      </c>
      <c r="L16" s="26">
        <v>82.28</v>
      </c>
      <c r="M16" s="26">
        <v>70.92</v>
      </c>
      <c r="N16" s="26">
        <v>75.84</v>
      </c>
      <c r="O16" s="26">
        <v>82.67</v>
      </c>
      <c r="P16" s="26">
        <v>70.900000000000006</v>
      </c>
      <c r="Q16" s="26"/>
      <c r="R16" s="35">
        <f t="shared" si="1"/>
        <v>702.43</v>
      </c>
      <c r="S16" s="165">
        <v>3</v>
      </c>
    </row>
    <row r="17" spans="1:20" ht="30">
      <c r="A17" s="164">
        <v>12</v>
      </c>
      <c r="B17" s="24" t="str">
        <f>'LISTA STARTOWA 09'!B20</f>
        <v>Kędzior Wojciech
Trznadel Mateusz</v>
      </c>
      <c r="C17" s="39">
        <f>'LISTA STARTOWA 09'!C20</f>
        <v>39</v>
      </c>
      <c r="D17" s="39" t="str">
        <f>'LISTA STARTOWA 09'!D20</f>
        <v>K 3</v>
      </c>
      <c r="E17" s="25" t="str">
        <f>'LISTA STARTOWA 09'!E20</f>
        <v>&lt;2000</v>
      </c>
      <c r="F17" s="25" t="str">
        <f>'LISTA STARTOWA 09'!F20</f>
        <v>Renault Clio</v>
      </c>
      <c r="G17" s="25" t="str">
        <f>'LISTA STARTOWA 09'!G20</f>
        <v>AK Stomil Dębica</v>
      </c>
      <c r="H17" s="143">
        <v>75.599999999999994</v>
      </c>
      <c r="I17" s="26">
        <v>85.05</v>
      </c>
      <c r="J17" s="26">
        <v>75.8</v>
      </c>
      <c r="K17" s="26">
        <v>75.34</v>
      </c>
      <c r="L17" s="26">
        <v>85.19</v>
      </c>
      <c r="M17" s="26">
        <v>76.27</v>
      </c>
      <c r="N17" s="194">
        <f>77.47+5</f>
        <v>82.47</v>
      </c>
      <c r="O17" s="26">
        <v>83.96</v>
      </c>
      <c r="P17" s="26">
        <v>76.849999999999994</v>
      </c>
      <c r="Q17" s="26"/>
      <c r="R17" s="35">
        <f t="shared" si="1"/>
        <v>716.53</v>
      </c>
      <c r="S17" s="165">
        <v>4</v>
      </c>
      <c r="T17" s="16"/>
    </row>
    <row r="18" spans="1:20" ht="30">
      <c r="A18" s="164">
        <v>13</v>
      </c>
      <c r="B18" s="24" t="str">
        <f>'LISTA STARTOWA 09'!B15</f>
        <v>Biały Paweł
Biały Tomasz</v>
      </c>
      <c r="C18" s="39">
        <f>'LISTA STARTOWA 09'!C15</f>
        <v>7</v>
      </c>
      <c r="D18" s="39" t="str">
        <f>'LISTA STARTOWA 09'!D15</f>
        <v>K 3</v>
      </c>
      <c r="E18" s="25" t="str">
        <f>'LISTA STARTOWA 09'!E15</f>
        <v>&lt;2000</v>
      </c>
      <c r="F18" s="25" t="str">
        <f>'LISTA STARTOWA 09'!F15</f>
        <v>BMW 318 TI</v>
      </c>
      <c r="G18" s="25" t="str">
        <f>'LISTA STARTOWA 09'!G15</f>
        <v>AK Rzeszowski</v>
      </c>
      <c r="H18" s="143">
        <v>77.010000000000005</v>
      </c>
      <c r="I18" s="26">
        <v>89.26</v>
      </c>
      <c r="J18" s="26">
        <v>78.25</v>
      </c>
      <c r="K18" s="26">
        <v>76.7</v>
      </c>
      <c r="L18" s="26">
        <v>88.27</v>
      </c>
      <c r="M18" s="26">
        <v>77.73</v>
      </c>
      <c r="N18" s="26">
        <v>80.22</v>
      </c>
      <c r="O18" s="26">
        <v>88.21</v>
      </c>
      <c r="P18" s="26">
        <v>78.790000000000006</v>
      </c>
      <c r="Q18" s="26"/>
      <c r="R18" s="35">
        <f t="shared" si="1"/>
        <v>734.44</v>
      </c>
      <c r="S18" s="165">
        <v>5</v>
      </c>
    </row>
    <row r="19" spans="1:20" ht="30">
      <c r="A19" s="164">
        <v>14</v>
      </c>
      <c r="B19" s="24" t="str">
        <f>'LISTA STARTOWA 09'!B17</f>
        <v>Krasowski Łukasz
Bukała Mateusz</v>
      </c>
      <c r="C19" s="39">
        <f>'LISTA STARTOWA 09'!C17</f>
        <v>27</v>
      </c>
      <c r="D19" s="39" t="str">
        <f>'LISTA STARTOWA 09'!D17</f>
        <v>K 3</v>
      </c>
      <c r="E19" s="25" t="str">
        <f>'LISTA STARTOWA 09'!E17</f>
        <v>&lt;2000</v>
      </c>
      <c r="F19" s="25" t="str">
        <f>'LISTA STARTOWA 09'!F17</f>
        <v>Renault Clio Sport</v>
      </c>
      <c r="G19" s="25" t="str">
        <f>'LISTA STARTOWA 09'!G17</f>
        <v>AMK Małopolski</v>
      </c>
      <c r="H19" s="193">
        <f>77.39+5</f>
        <v>82.39</v>
      </c>
      <c r="I19" s="26">
        <v>92.49</v>
      </c>
      <c r="J19" s="26">
        <v>76.86</v>
      </c>
      <c r="K19" s="26">
        <v>77.22</v>
      </c>
      <c r="L19" s="26">
        <v>89.6</v>
      </c>
      <c r="M19" s="26">
        <v>74.760000000000005</v>
      </c>
      <c r="N19" s="194">
        <f>77.09+5</f>
        <v>82.09</v>
      </c>
      <c r="O19" s="26">
        <v>85.29</v>
      </c>
      <c r="P19" s="26">
        <v>73.989999999999995</v>
      </c>
      <c r="Q19" s="26"/>
      <c r="R19" s="35">
        <f t="shared" si="1"/>
        <v>734.69</v>
      </c>
      <c r="S19" s="165">
        <v>6</v>
      </c>
    </row>
    <row r="20" spans="1:20" ht="30">
      <c r="A20" s="164">
        <v>15</v>
      </c>
      <c r="B20" s="24" t="str">
        <f>'LISTA STARTOWA 09'!B22</f>
        <v>Wiśniowski Bogdan
Wiśniowski Mateusz</v>
      </c>
      <c r="C20" s="39">
        <f>'LISTA STARTOWA 09'!C22</f>
        <v>6</v>
      </c>
      <c r="D20" s="39" t="str">
        <f>'LISTA STARTOWA 09'!D22</f>
        <v>K 3</v>
      </c>
      <c r="E20" s="25" t="str">
        <f>'LISTA STARTOWA 09'!E22</f>
        <v xml:space="preserve">&lt;2000 </v>
      </c>
      <c r="F20" s="25" t="str">
        <f>'LISTA STARTOWA 09'!F22</f>
        <v>Renault Clio</v>
      </c>
      <c r="G20" s="25" t="str">
        <f>'LISTA STARTOWA 09'!G22</f>
        <v xml:space="preserve">AK Rzeszowski </v>
      </c>
      <c r="H20" s="143">
        <v>79.709999999999994</v>
      </c>
      <c r="I20" s="26">
        <v>89.2</v>
      </c>
      <c r="J20" s="26">
        <v>77.7</v>
      </c>
      <c r="K20" s="26">
        <v>80.010000000000005</v>
      </c>
      <c r="L20" s="26">
        <v>89.52</v>
      </c>
      <c r="M20" s="26">
        <v>78.260000000000005</v>
      </c>
      <c r="N20" s="26">
        <v>80.209999999999994</v>
      </c>
      <c r="O20" s="26">
        <v>89.49</v>
      </c>
      <c r="P20" s="26">
        <v>78.819999999999993</v>
      </c>
      <c r="Q20" s="26"/>
      <c r="R20" s="35">
        <f t="shared" si="1"/>
        <v>742.92000000000007</v>
      </c>
      <c r="S20" s="165">
        <v>7</v>
      </c>
      <c r="T20" s="16"/>
    </row>
    <row r="21" spans="1:20" ht="30">
      <c r="A21" s="164">
        <v>16</v>
      </c>
      <c r="B21" s="24" t="str">
        <f>'LISTA STARTOWA 09'!B14</f>
        <v>Reizer Grzegorz
Leja Sławomir</v>
      </c>
      <c r="C21" s="39">
        <f>'LISTA STARTOWA 09'!C14</f>
        <v>1</v>
      </c>
      <c r="D21" s="39" t="str">
        <f>'LISTA STARTOWA 09'!D14</f>
        <v>K 3</v>
      </c>
      <c r="E21" s="25" t="str">
        <f>'LISTA STARTOWA 09'!E14</f>
        <v>&lt;2000</v>
      </c>
      <c r="F21" s="25" t="str">
        <f>'LISTA STARTOWA 09'!F14</f>
        <v>Ford Fiesta ST</v>
      </c>
      <c r="G21" s="25" t="str">
        <f>'LISTA STARTOWA 09'!G14</f>
        <v>AK Rzeszowski</v>
      </c>
      <c r="H21" s="193">
        <f>78.13+5+5+5</f>
        <v>93.13</v>
      </c>
      <c r="I21" s="26">
        <v>92.03</v>
      </c>
      <c r="J21" s="26">
        <v>82.03</v>
      </c>
      <c r="K21" s="26">
        <v>81.239999999999995</v>
      </c>
      <c r="L21" s="26">
        <v>98.17</v>
      </c>
      <c r="M21" s="26">
        <v>80.010000000000005</v>
      </c>
      <c r="N21" s="26">
        <v>81.48</v>
      </c>
      <c r="O21" s="26">
        <v>88.63</v>
      </c>
      <c r="P21" s="26">
        <v>77.75</v>
      </c>
      <c r="Q21" s="26"/>
      <c r="R21" s="35">
        <f t="shared" si="1"/>
        <v>774.47</v>
      </c>
      <c r="S21" s="165">
        <v>8</v>
      </c>
      <c r="T21" s="16"/>
    </row>
    <row r="22" spans="1:20" ht="30.75" thickBot="1">
      <c r="A22" s="170">
        <v>17</v>
      </c>
      <c r="B22" s="37" t="str">
        <f>'LISTA STARTOWA 09'!B19</f>
        <v>Kozłowicz Tomasz
Kopeć Marcin</v>
      </c>
      <c r="C22" s="90">
        <f>'LISTA STARTOWA 09'!C19</f>
        <v>35</v>
      </c>
      <c r="D22" s="90" t="str">
        <f>'LISTA STARTOWA 09'!D19</f>
        <v>K 3</v>
      </c>
      <c r="E22" s="91" t="str">
        <f>'LISTA STARTOWA 09'!E19</f>
        <v>&lt;2000</v>
      </c>
      <c r="F22" s="91" t="str">
        <f>'LISTA STARTOWA 09'!F19</f>
        <v>Subaru Impreza</v>
      </c>
      <c r="G22" s="91" t="str">
        <f>'LISTA STARTOWA 09'!G19</f>
        <v>AK Rzeszowski</v>
      </c>
      <c r="H22" s="195">
        <f>86.35+5</f>
        <v>91.35</v>
      </c>
      <c r="I22" s="36">
        <v>96.06</v>
      </c>
      <c r="J22" s="36">
        <v>82.7</v>
      </c>
      <c r="K22" s="36">
        <v>85.82</v>
      </c>
      <c r="L22" s="36">
        <v>96.23</v>
      </c>
      <c r="M22" s="36">
        <v>85.05</v>
      </c>
      <c r="N22" s="36">
        <v>88.02</v>
      </c>
      <c r="O22" s="36">
        <v>95.12</v>
      </c>
      <c r="P22" s="36">
        <v>84.29</v>
      </c>
      <c r="Q22" s="36"/>
      <c r="R22" s="55">
        <f t="shared" si="1"/>
        <v>804.64</v>
      </c>
      <c r="S22" s="171">
        <v>9</v>
      </c>
      <c r="T22" s="16"/>
    </row>
    <row r="23" spans="1:20" ht="30">
      <c r="A23" s="117">
        <v>18</v>
      </c>
      <c r="B23" s="18" t="str">
        <f>'LISTA STARTOWA 09'!B25</f>
        <v>Pomprowicz Przemysław
Sokołowski Daniel</v>
      </c>
      <c r="C23" s="47">
        <f>'LISTA STARTOWA 09'!C25</f>
        <v>20</v>
      </c>
      <c r="D23" s="47" t="str">
        <f>'LISTA STARTOWA 09'!D25</f>
        <v>K 2</v>
      </c>
      <c r="E23" s="44" t="str">
        <f>'LISTA STARTOWA 09'!E25</f>
        <v>&lt;1600</v>
      </c>
      <c r="F23" s="44" t="str">
        <f>'LISTA STARTOWA 09'!F25</f>
        <v>Honda Civic</v>
      </c>
      <c r="G23" s="44" t="str">
        <f>'LISTA STARTOWA 09'!G25</f>
        <v>JKMiRD Jasło</v>
      </c>
      <c r="H23" s="20">
        <v>75.94</v>
      </c>
      <c r="I23" s="20">
        <v>83.61</v>
      </c>
      <c r="J23" s="20">
        <v>72.89</v>
      </c>
      <c r="K23" s="20">
        <v>73.069999999999993</v>
      </c>
      <c r="L23" s="20">
        <v>81.72</v>
      </c>
      <c r="M23" s="20">
        <v>73.05</v>
      </c>
      <c r="N23" s="20">
        <v>77.989999999999995</v>
      </c>
      <c r="O23" s="20">
        <v>81.95</v>
      </c>
      <c r="P23" s="20">
        <v>72.5</v>
      </c>
      <c r="Q23" s="20"/>
      <c r="R23" s="22">
        <f t="shared" si="1"/>
        <v>692.72</v>
      </c>
      <c r="S23" s="163">
        <v>1</v>
      </c>
      <c r="T23" s="83"/>
    </row>
    <row r="24" spans="1:20" ht="30">
      <c r="A24" s="109">
        <v>19</v>
      </c>
      <c r="B24" s="24" t="str">
        <f>'LISTA STARTOWA 09'!B23</f>
        <v>Jabłoński Piotr
Wcześny Grzegorz</v>
      </c>
      <c r="C24" s="39">
        <f>'LISTA STARTOWA 09'!C23</f>
        <v>17</v>
      </c>
      <c r="D24" s="39" t="str">
        <f>'LISTA STARTOWA 09'!D23</f>
        <v>K 2</v>
      </c>
      <c r="E24" s="25" t="str">
        <f>'LISTA STARTOWA 09'!E23</f>
        <v>&lt;1600</v>
      </c>
      <c r="F24" s="25" t="str">
        <f>'LISTA STARTOWA 09'!F23</f>
        <v>Citroen Saxo</v>
      </c>
      <c r="G24" s="25" t="str">
        <f>'LISTA STARTOWA 09'!G23</f>
        <v>AK Stalowa Wola</v>
      </c>
      <c r="H24" s="26">
        <v>74.36</v>
      </c>
      <c r="I24" s="26">
        <v>83.92</v>
      </c>
      <c r="J24" s="26">
        <v>73.13</v>
      </c>
      <c r="K24" s="26">
        <v>74.3</v>
      </c>
      <c r="L24" s="26">
        <v>83.01</v>
      </c>
      <c r="M24" s="26">
        <v>74.63</v>
      </c>
      <c r="N24" s="26">
        <v>74.64</v>
      </c>
      <c r="O24" s="26">
        <v>82.29</v>
      </c>
      <c r="P24" s="26">
        <v>73.209999999999994</v>
      </c>
      <c r="Q24" s="26"/>
      <c r="R24" s="35">
        <f t="shared" si="1"/>
        <v>693.49</v>
      </c>
      <c r="S24" s="165">
        <v>2</v>
      </c>
      <c r="T24" s="16"/>
    </row>
    <row r="25" spans="1:20" ht="30">
      <c r="A25" s="109">
        <v>20</v>
      </c>
      <c r="B25" s="24" t="str">
        <f>'LISTA STARTOWA 09'!B26</f>
        <v>Fudali Hubert
Rodzeń Krystian</v>
      </c>
      <c r="C25" s="39">
        <f>'LISTA STARTOWA 09'!C26</f>
        <v>23</v>
      </c>
      <c r="D25" s="39" t="str">
        <f>'LISTA STARTOWA 09'!D26</f>
        <v>K 2</v>
      </c>
      <c r="E25" s="25" t="str">
        <f>'LISTA STARTOWA 09'!E26</f>
        <v>&lt;1600</v>
      </c>
      <c r="F25" s="25" t="str">
        <f>'LISTA STARTOWA 09'!F26</f>
        <v>Opel Corsa</v>
      </c>
      <c r="G25" s="25" t="str">
        <f>'LISTA STARTOWA 09'!G26</f>
        <v>AK Rzeszowski</v>
      </c>
      <c r="H25" s="26">
        <v>73.88</v>
      </c>
      <c r="I25" s="26">
        <v>84.05</v>
      </c>
      <c r="J25" s="26">
        <v>73.45</v>
      </c>
      <c r="K25" s="26">
        <v>82.43</v>
      </c>
      <c r="L25" s="26">
        <v>82.99</v>
      </c>
      <c r="M25" s="26">
        <v>74.61</v>
      </c>
      <c r="N25" s="194">
        <f>75.03+5</f>
        <v>80.03</v>
      </c>
      <c r="O25" s="26">
        <v>83.71</v>
      </c>
      <c r="P25" s="26">
        <v>73.900000000000006</v>
      </c>
      <c r="Q25" s="26"/>
      <c r="R25" s="35">
        <f t="shared" si="1"/>
        <v>709.05000000000007</v>
      </c>
      <c r="S25" s="165">
        <v>3</v>
      </c>
    </row>
    <row r="26" spans="1:20" ht="30">
      <c r="A26" s="109">
        <v>21</v>
      </c>
      <c r="B26" s="24" t="str">
        <f>'LISTA STARTOWA 09'!B24</f>
        <v>Pawlik Grzegorz
Sykut Konrad</v>
      </c>
      <c r="C26" s="39">
        <f>'LISTA STARTOWA 09'!C24</f>
        <v>18</v>
      </c>
      <c r="D26" s="39" t="str">
        <f>'LISTA STARTOWA 09'!D24</f>
        <v>K 2</v>
      </c>
      <c r="E26" s="25" t="str">
        <f>'LISTA STARTOWA 09'!E24</f>
        <v>&lt;1600</v>
      </c>
      <c r="F26" s="25" t="str">
        <f>'LISTA STARTOWA 09'!F24</f>
        <v>Citroen Saxo</v>
      </c>
      <c r="G26" s="25" t="str">
        <f>'LISTA STARTOWA 09'!G24</f>
        <v>niezrzeszony</v>
      </c>
      <c r="H26" s="194">
        <f>74.3+5</f>
        <v>79.3</v>
      </c>
      <c r="I26" s="26">
        <v>86.64</v>
      </c>
      <c r="J26" s="26">
        <v>73.44</v>
      </c>
      <c r="K26" s="26">
        <v>77.28</v>
      </c>
      <c r="L26" s="26">
        <v>82.86</v>
      </c>
      <c r="M26" s="26">
        <v>74.040000000000006</v>
      </c>
      <c r="N26" s="26">
        <v>75.88</v>
      </c>
      <c r="O26" s="26">
        <v>84.2</v>
      </c>
      <c r="P26" s="194">
        <f>73.23+5</f>
        <v>78.23</v>
      </c>
      <c r="Q26" s="26"/>
      <c r="R26" s="35">
        <f t="shared" si="1"/>
        <v>711.87000000000012</v>
      </c>
      <c r="S26" s="165">
        <v>4</v>
      </c>
    </row>
    <row r="27" spans="1:20" ht="30">
      <c r="A27" s="109">
        <v>22</v>
      </c>
      <c r="B27" s="24" t="str">
        <f>'LISTA STARTOWA 09'!B30</f>
        <v>Pięta Jan
Mędrygał Sławomir</v>
      </c>
      <c r="C27" s="39">
        <f>'LISTA STARTOWA 09'!C30</f>
        <v>8</v>
      </c>
      <c r="D27" s="39" t="str">
        <f>'LISTA STARTOWA 09'!D30</f>
        <v>K 2</v>
      </c>
      <c r="E27" s="25" t="str">
        <f>'LISTA STARTOWA 09'!E30</f>
        <v>&lt;1600</v>
      </c>
      <c r="F27" s="25" t="str">
        <f>'LISTA STARTOWA 09'!F30</f>
        <v>FSO Polonez</v>
      </c>
      <c r="G27" s="25" t="str">
        <f>'LISTA STARTOWA 09'!G30</f>
        <v>niezrzeszony</v>
      </c>
      <c r="H27" s="26">
        <v>80.36</v>
      </c>
      <c r="I27" s="26">
        <v>90.73</v>
      </c>
      <c r="J27" s="26">
        <v>79.33</v>
      </c>
      <c r="K27" s="194">
        <f>80.4+5</f>
        <v>85.4</v>
      </c>
      <c r="L27" s="26">
        <v>87.68</v>
      </c>
      <c r="M27" s="26">
        <v>79.430000000000007</v>
      </c>
      <c r="N27" s="26">
        <v>77.45</v>
      </c>
      <c r="O27" s="26">
        <v>88</v>
      </c>
      <c r="P27" s="26">
        <v>81.05</v>
      </c>
      <c r="Q27" s="26"/>
      <c r="R27" s="35">
        <f t="shared" si="1"/>
        <v>749.43000000000006</v>
      </c>
      <c r="S27" s="165">
        <v>5</v>
      </c>
    </row>
    <row r="28" spans="1:20" ht="30">
      <c r="A28" s="109">
        <v>23</v>
      </c>
      <c r="B28" s="24" t="str">
        <f>'LISTA STARTOWA 09'!B29</f>
        <v>Mądry Radosław
Dul Piotr</v>
      </c>
      <c r="C28" s="39">
        <f>'LISTA STARTOWA 09'!C29</f>
        <v>42</v>
      </c>
      <c r="D28" s="39" t="str">
        <f>'LISTA STARTOWA 09'!D29</f>
        <v>K 2</v>
      </c>
      <c r="E28" s="25" t="str">
        <f>'LISTA STARTOWA 09'!E29</f>
        <v>&lt;1600</v>
      </c>
      <c r="F28" s="25" t="str">
        <f>'LISTA STARTOWA 09'!F29</f>
        <v>Honda CIVIC</v>
      </c>
      <c r="G28" s="25" t="str">
        <f>'LISTA STARTOWA 09'!G29</f>
        <v>A Mielecki</v>
      </c>
      <c r="H28" s="194">
        <f>76.27+5</f>
        <v>81.27</v>
      </c>
      <c r="I28" s="26">
        <v>85.25</v>
      </c>
      <c r="J28" s="26">
        <v>75.959999999999994</v>
      </c>
      <c r="K28" s="194">
        <f>79.09+5</f>
        <v>84.09</v>
      </c>
      <c r="L28" s="26">
        <v>83.7</v>
      </c>
      <c r="M28" s="26">
        <v>76.8</v>
      </c>
      <c r="N28" s="26">
        <v>77.94</v>
      </c>
      <c r="O28" s="194">
        <f>126.76+5</f>
        <v>131.76</v>
      </c>
      <c r="P28" s="26">
        <v>77.989999999999995</v>
      </c>
      <c r="Q28" s="26"/>
      <c r="R28" s="35">
        <f t="shared" si="1"/>
        <v>774.76</v>
      </c>
      <c r="S28" s="165">
        <v>6</v>
      </c>
    </row>
    <row r="29" spans="1:20" ht="30">
      <c r="A29" s="109">
        <v>24</v>
      </c>
      <c r="B29" s="24" t="str">
        <f>'LISTA STARTOWA 09'!B27</f>
        <v>Pastuła Piotr
Róg Dawid</v>
      </c>
      <c r="C29" s="39">
        <f>'LISTA STARTOWA 09'!C27</f>
        <v>40</v>
      </c>
      <c r="D29" s="39" t="str">
        <f>'LISTA STARTOWA 09'!D27</f>
        <v>K 2</v>
      </c>
      <c r="E29" s="25" t="str">
        <f>'LISTA STARTOWA 09'!E27</f>
        <v>&lt;1600</v>
      </c>
      <c r="F29" s="25" t="str">
        <f>'LISTA STARTOWA 09'!F27</f>
        <v>Citroen Saxo</v>
      </c>
      <c r="G29" s="25" t="str">
        <f>'LISTA STARTOWA 09'!G27</f>
        <v>niezrzeszony</v>
      </c>
      <c r="H29" s="194">
        <f>79.88+5</f>
        <v>84.88</v>
      </c>
      <c r="I29" s="26">
        <v>96.61</v>
      </c>
      <c r="J29" s="26">
        <v>79.37</v>
      </c>
      <c r="K29" s="26">
        <v>77.17</v>
      </c>
      <c r="L29" s="26">
        <v>89.6</v>
      </c>
      <c r="M29" s="26">
        <v>77.069999999999993</v>
      </c>
      <c r="N29" s="194">
        <f>78.08+5</f>
        <v>83.08</v>
      </c>
      <c r="O29" s="26">
        <v>87.11</v>
      </c>
      <c r="P29" s="26">
        <v>78.66</v>
      </c>
      <c r="Q29" s="26">
        <f>50</f>
        <v>50</v>
      </c>
      <c r="R29" s="35">
        <f t="shared" si="1"/>
        <v>803.55</v>
      </c>
      <c r="S29" s="165">
        <v>7</v>
      </c>
      <c r="T29" s="82"/>
    </row>
    <row r="30" spans="1:20" ht="30.75" thickBot="1">
      <c r="A30" s="123">
        <v>25</v>
      </c>
      <c r="B30" s="37" t="str">
        <f>'LISTA STARTOWA 09'!B28</f>
        <v>Piwnik Maciej
Wójcik Anna</v>
      </c>
      <c r="C30" s="90">
        <f>'LISTA STARTOWA 09'!C28</f>
        <v>41</v>
      </c>
      <c r="D30" s="90" t="str">
        <f>'LISTA STARTOWA 09'!D28</f>
        <v>K 2</v>
      </c>
      <c r="E30" s="91" t="str">
        <f>'LISTA STARTOWA 09'!E28</f>
        <v>&lt;1600</v>
      </c>
      <c r="F30" s="91" t="str">
        <f>'LISTA STARTOWA 09'!F28</f>
        <v>Honda CRX</v>
      </c>
      <c r="G30" s="91" t="str">
        <f>'LISTA STARTOWA 09'!G28</f>
        <v>AK Kielecki</v>
      </c>
      <c r="H30" s="197">
        <f>74.54+5</f>
        <v>79.540000000000006</v>
      </c>
      <c r="I30" s="36">
        <f>11*60+12.03</f>
        <v>672.03</v>
      </c>
      <c r="J30" s="36" t="s">
        <v>66</v>
      </c>
      <c r="K30" s="36" t="s">
        <v>66</v>
      </c>
      <c r="L30" s="36" t="s">
        <v>66</v>
      </c>
      <c r="M30" s="36" t="s">
        <v>66</v>
      </c>
      <c r="N30" s="36" t="s">
        <v>66</v>
      </c>
      <c r="O30" s="36" t="s">
        <v>66</v>
      </c>
      <c r="P30" s="36" t="s">
        <v>66</v>
      </c>
      <c r="Q30" s="36"/>
      <c r="R30" s="36" t="s">
        <v>66</v>
      </c>
      <c r="S30" s="171" t="s">
        <v>66</v>
      </c>
    </row>
    <row r="31" spans="1:20" ht="30">
      <c r="A31" s="117">
        <v>26</v>
      </c>
      <c r="B31" s="18" t="str">
        <f>'LISTA STARTOWA 09'!B35</f>
        <v>Wronkowicz Jacek
Orliński Wiesław</v>
      </c>
      <c r="C31" s="47">
        <f>'LISTA STARTOWA 09'!C35</f>
        <v>19</v>
      </c>
      <c r="D31" s="47" t="str">
        <f>'LISTA STARTOWA 09'!D35</f>
        <v>K 1</v>
      </c>
      <c r="E31" s="44" t="str">
        <f>'LISTA STARTOWA 09'!E35</f>
        <v xml:space="preserve"> &lt;1400  </v>
      </c>
      <c r="F31" s="44" t="str">
        <f>'LISTA STARTOWA 09'!F35</f>
        <v>Peugeot 106</v>
      </c>
      <c r="G31" s="44" t="str">
        <f>'LISTA STARTOWA 09'!G35</f>
        <v>AK Biecki</v>
      </c>
      <c r="H31" s="200">
        <f>78.16+5</f>
        <v>83.16</v>
      </c>
      <c r="I31" s="20">
        <v>86.83</v>
      </c>
      <c r="J31" s="20">
        <v>78.180000000000007</v>
      </c>
      <c r="K31" s="20">
        <v>80.14</v>
      </c>
      <c r="L31" s="20">
        <v>87.92</v>
      </c>
      <c r="M31" s="20">
        <v>79.56</v>
      </c>
      <c r="N31" s="20">
        <v>78.89</v>
      </c>
      <c r="O31" s="20">
        <v>86.48</v>
      </c>
      <c r="P31" s="20">
        <v>77.260000000000005</v>
      </c>
      <c r="Q31" s="20"/>
      <c r="R31" s="22">
        <f t="shared" ref="R31:R45" si="2">SUM(H31:Q31)</f>
        <v>738.42000000000007</v>
      </c>
      <c r="S31" s="163">
        <v>1</v>
      </c>
    </row>
    <row r="32" spans="1:20" ht="30">
      <c r="A32" s="109">
        <v>27</v>
      </c>
      <c r="B32" s="24" t="str">
        <f>'LISTA STARTOWA 09'!B31</f>
        <v>Skroban Marcin
Wagner Jakub</v>
      </c>
      <c r="C32" s="39">
        <f>'LISTA STARTOWA 09'!C31</f>
        <v>5</v>
      </c>
      <c r="D32" s="39" t="str">
        <f>'LISTA STARTOWA 09'!D31</f>
        <v>K 1</v>
      </c>
      <c r="E32" s="25" t="str">
        <f>'LISTA STARTOWA 09'!E31</f>
        <v>&lt;1400</v>
      </c>
      <c r="F32" s="25" t="str">
        <f>'LISTA STARTOWA 09'!F31</f>
        <v>Peugeot 106</v>
      </c>
      <c r="G32" s="25" t="str">
        <f>'LISTA STARTOWA 09'!G31</f>
        <v>AK Biłgoraj</v>
      </c>
      <c r="H32" s="26">
        <v>80.12</v>
      </c>
      <c r="I32" s="26">
        <v>89.2</v>
      </c>
      <c r="J32" s="26">
        <v>78.16</v>
      </c>
      <c r="K32" s="26">
        <v>79.38</v>
      </c>
      <c r="L32" s="26">
        <v>87.06</v>
      </c>
      <c r="M32" s="26">
        <v>79.27</v>
      </c>
      <c r="N32" s="26">
        <v>81.3</v>
      </c>
      <c r="O32" s="26">
        <v>89.78</v>
      </c>
      <c r="P32" s="26">
        <v>79.95</v>
      </c>
      <c r="Q32" s="26"/>
      <c r="R32" s="35">
        <f t="shared" si="2"/>
        <v>744.22</v>
      </c>
      <c r="S32" s="165">
        <v>2</v>
      </c>
    </row>
    <row r="33" spans="1:19" ht="30">
      <c r="A33" s="109">
        <v>28</v>
      </c>
      <c r="B33" s="24" t="str">
        <f>'LISTA STARTOWA 09'!B34</f>
        <v>Pypeć Przemysław
Chrabąszcz Mateusz</v>
      </c>
      <c r="C33" s="39">
        <f>'LISTA STARTOWA 09'!C34</f>
        <v>28</v>
      </c>
      <c r="D33" s="39" t="str">
        <f>'LISTA STARTOWA 09'!D34</f>
        <v>K 1</v>
      </c>
      <c r="E33" s="25" t="str">
        <f>'LISTA STARTOWA 09'!E34</f>
        <v>&lt;1400</v>
      </c>
      <c r="F33" s="25" t="str">
        <f>'LISTA STARTOWA 09'!F34</f>
        <v>Suzuki Gti</v>
      </c>
      <c r="G33" s="25" t="str">
        <f>'LISTA STARTOWA 09'!G34</f>
        <v>AK Kielecki</v>
      </c>
      <c r="H33" s="194">
        <f>79.21+5</f>
        <v>84.21</v>
      </c>
      <c r="I33" s="26">
        <v>87.08</v>
      </c>
      <c r="J33" s="26">
        <v>77.19</v>
      </c>
      <c r="K33" s="194">
        <f>78.92+5</f>
        <v>83.92</v>
      </c>
      <c r="L33" s="194">
        <f>85.23+5</f>
        <v>90.23</v>
      </c>
      <c r="M33" s="26">
        <v>77.569999999999993</v>
      </c>
      <c r="N33" s="194">
        <f>82.27+5</f>
        <v>87.27</v>
      </c>
      <c r="O33" s="26">
        <v>88.7</v>
      </c>
      <c r="P33" s="26">
        <v>77.760000000000005</v>
      </c>
      <c r="Q33" s="26"/>
      <c r="R33" s="35">
        <f t="shared" si="2"/>
        <v>753.93000000000006</v>
      </c>
      <c r="S33" s="165">
        <v>3</v>
      </c>
    </row>
    <row r="34" spans="1:19" ht="30">
      <c r="A34" s="109">
        <v>29</v>
      </c>
      <c r="B34" s="24" t="str">
        <f>'LISTA STARTOWA 09'!B33</f>
        <v>Wiszyński Arkadiusz
Bodniak Mateusz</v>
      </c>
      <c r="C34" s="39">
        <f>'LISTA STARTOWA 09'!C33</f>
        <v>14</v>
      </c>
      <c r="D34" s="39" t="str">
        <f>'LISTA STARTOWA 09'!D33</f>
        <v>K 1</v>
      </c>
      <c r="E34" s="25" t="str">
        <f>'LISTA STARTOWA 09'!E33</f>
        <v>&lt;1400</v>
      </c>
      <c r="F34" s="25" t="str">
        <f>'LISTA STARTOWA 09'!F33</f>
        <v>Peugeot 106</v>
      </c>
      <c r="G34" s="25" t="str">
        <f>'LISTA STARTOWA 09'!G33</f>
        <v>AK Biecki</v>
      </c>
      <c r="H34" s="26">
        <v>82.25</v>
      </c>
      <c r="I34" s="26">
        <v>91.31</v>
      </c>
      <c r="J34" s="26">
        <v>78.260000000000005</v>
      </c>
      <c r="K34" s="26">
        <v>81.349999999999994</v>
      </c>
      <c r="L34" s="26">
        <v>90.91</v>
      </c>
      <c r="M34" s="26">
        <v>79.349999999999994</v>
      </c>
      <c r="N34" s="26">
        <v>80.36</v>
      </c>
      <c r="O34" s="26">
        <v>91.64</v>
      </c>
      <c r="P34" s="26">
        <v>79</v>
      </c>
      <c r="Q34" s="26"/>
      <c r="R34" s="35">
        <f t="shared" si="2"/>
        <v>754.43</v>
      </c>
      <c r="S34" s="165">
        <v>4</v>
      </c>
    </row>
    <row r="35" spans="1:19" ht="30.75" thickBot="1">
      <c r="A35" s="123">
        <v>30</v>
      </c>
      <c r="B35" s="37" t="str">
        <f>'LISTA STARTOWA 09'!B32</f>
        <v>Przybyło Krzysztof
Kisała Karolina</v>
      </c>
      <c r="C35" s="90">
        <f>'LISTA STARTOWA 09'!C32</f>
        <v>12</v>
      </c>
      <c r="D35" s="90" t="str">
        <f>'LISTA STARTOWA 09'!D32</f>
        <v>K 1</v>
      </c>
      <c r="E35" s="91" t="str">
        <f>'LISTA STARTOWA 09'!E32</f>
        <v>&lt;1400</v>
      </c>
      <c r="F35" s="91" t="str">
        <f>'LISTA STARTOWA 09'!F32</f>
        <v>Suzuki Swift</v>
      </c>
      <c r="G35" s="91" t="str">
        <f>'LISTA STARTOWA 09'!G32</f>
        <v>niezrzeszony</v>
      </c>
      <c r="H35" s="197">
        <f>77.7+10+5+5</f>
        <v>97.7</v>
      </c>
      <c r="I35" s="36">
        <v>90.61</v>
      </c>
      <c r="J35" s="36">
        <v>78.52</v>
      </c>
      <c r="K35" s="197">
        <f>79.87+5</f>
        <v>84.87</v>
      </c>
      <c r="L35" s="36">
        <v>89.15</v>
      </c>
      <c r="M35" s="36">
        <v>80.099999999999994</v>
      </c>
      <c r="N35" s="197">
        <f>80.8+10</f>
        <v>90.8</v>
      </c>
      <c r="O35" s="36">
        <v>89.33</v>
      </c>
      <c r="P35" s="36">
        <v>81.83</v>
      </c>
      <c r="Q35" s="36"/>
      <c r="R35" s="55">
        <f t="shared" si="2"/>
        <v>782.91000000000008</v>
      </c>
      <c r="S35" s="171">
        <v>5</v>
      </c>
    </row>
    <row r="36" spans="1:19" ht="30">
      <c r="A36" s="172">
        <v>31</v>
      </c>
      <c r="B36" s="45" t="str">
        <f>'LISTA STARTOWA 09'!B37</f>
        <v>Niemiec Jerzy
Saganowski Tomasz</v>
      </c>
      <c r="C36" s="52">
        <f>'LISTA STARTOWA 09'!C37</f>
        <v>3</v>
      </c>
      <c r="D36" s="52" t="str">
        <f>'LISTA STARTOWA 09'!D37</f>
        <v>K Fiat</v>
      </c>
      <c r="E36" s="53" t="str">
        <f>'LISTA STARTOWA 09'!E37</f>
        <v>FIAT</v>
      </c>
      <c r="F36" s="53" t="str">
        <f>'LISTA STARTOWA 09'!F37</f>
        <v>FF S.C.</v>
      </c>
      <c r="G36" s="53" t="str">
        <f>'LISTA STARTOWA 09'!G37</f>
        <v>AK Stalowa Wola</v>
      </c>
      <c r="H36" s="54">
        <v>77.38</v>
      </c>
      <c r="I36" s="54">
        <v>85.93</v>
      </c>
      <c r="J36" s="54">
        <v>76.650000000000006</v>
      </c>
      <c r="K36" s="54">
        <v>77.02</v>
      </c>
      <c r="L36" s="54">
        <v>86.47</v>
      </c>
      <c r="M36" s="54">
        <v>76.540000000000006</v>
      </c>
      <c r="N36" s="54">
        <v>78.31</v>
      </c>
      <c r="O36" s="54">
        <v>87.21</v>
      </c>
      <c r="P36" s="54">
        <v>77.53</v>
      </c>
      <c r="Q36" s="54"/>
      <c r="R36" s="22">
        <f t="shared" si="2"/>
        <v>723.04000000000008</v>
      </c>
      <c r="S36" s="169">
        <v>1</v>
      </c>
    </row>
    <row r="37" spans="1:19" ht="30">
      <c r="A37" s="109">
        <v>32</v>
      </c>
      <c r="B37" s="24" t="str">
        <f>'LISTA STARTOWA 09'!B40</f>
        <v>Forkiewicz Adam
Sulisz Jan</v>
      </c>
      <c r="C37" s="39">
        <f>'LISTA STARTOWA 09'!C40</f>
        <v>10</v>
      </c>
      <c r="D37" s="39" t="str">
        <f>'LISTA STARTOWA 09'!D40</f>
        <v>K Fiat</v>
      </c>
      <c r="E37" s="25" t="str">
        <f>'LISTA STARTOWA 09'!E40</f>
        <v>FIAT</v>
      </c>
      <c r="F37" s="25" t="str">
        <f>'LISTA STARTOWA 09'!F40</f>
        <v>FFS.C.</v>
      </c>
      <c r="G37" s="25" t="str">
        <f>'LISTA STARTOWA 09'!G40</f>
        <v>AK Stomil Dębica</v>
      </c>
      <c r="H37" s="26">
        <v>77.45</v>
      </c>
      <c r="I37" s="26">
        <v>84.47</v>
      </c>
      <c r="J37" s="194">
        <f>76.7+5</f>
        <v>81.7</v>
      </c>
      <c r="K37" s="26">
        <v>77.680000000000007</v>
      </c>
      <c r="L37" s="26">
        <v>87.65</v>
      </c>
      <c r="M37" s="26">
        <v>78.400000000000006</v>
      </c>
      <c r="N37" s="194">
        <f>79.05+5</f>
        <v>84.05</v>
      </c>
      <c r="O37" s="26">
        <v>88.37</v>
      </c>
      <c r="P37" s="26">
        <v>78.59</v>
      </c>
      <c r="Q37" s="26"/>
      <c r="R37" s="35">
        <f t="shared" si="2"/>
        <v>738.36</v>
      </c>
      <c r="S37" s="165">
        <v>2</v>
      </c>
    </row>
    <row r="38" spans="1:19" ht="30">
      <c r="A38" s="109">
        <v>33</v>
      </c>
      <c r="B38" s="24" t="str">
        <f>'LISTA STARTOWA 09'!B44</f>
        <v>Solarz Karol
Dubiel Bartosz</v>
      </c>
      <c r="C38" s="39">
        <f>'LISTA STARTOWA 09'!C44</f>
        <v>25</v>
      </c>
      <c r="D38" s="39" t="str">
        <f>'LISTA STARTOWA 09'!D44</f>
        <v>K Fiat</v>
      </c>
      <c r="E38" s="25" t="str">
        <f>'LISTA STARTOWA 09'!E44</f>
        <v>FIAT</v>
      </c>
      <c r="F38" s="25" t="str">
        <f>'LISTA STARTOWA 09'!F44</f>
        <v>Fiat S.C.</v>
      </c>
      <c r="G38" s="25" t="str">
        <f>'LISTA STARTOWA 09'!G44</f>
        <v>AK Kielecki</v>
      </c>
      <c r="H38" s="26">
        <v>83.93</v>
      </c>
      <c r="I38" s="26">
        <v>90.43</v>
      </c>
      <c r="J38" s="26">
        <v>79.8</v>
      </c>
      <c r="K38" s="26">
        <v>79.73</v>
      </c>
      <c r="L38" s="26">
        <v>89.03</v>
      </c>
      <c r="M38" s="26">
        <v>79.2</v>
      </c>
      <c r="N38" s="26">
        <v>80.900000000000006</v>
      </c>
      <c r="O38" s="26">
        <v>88.05</v>
      </c>
      <c r="P38" s="26">
        <v>78.87</v>
      </c>
      <c r="Q38" s="26"/>
      <c r="R38" s="35">
        <f t="shared" si="2"/>
        <v>749.94</v>
      </c>
      <c r="S38" s="165">
        <v>3</v>
      </c>
    </row>
    <row r="39" spans="1:19" ht="30">
      <c r="A39" s="109">
        <v>34</v>
      </c>
      <c r="B39" s="24" t="str">
        <f>'LISTA STARTOWA 09'!B47</f>
        <v>Przywara Dominik
Piekarska Aleksandra</v>
      </c>
      <c r="C39" s="39">
        <f>'LISTA STARTOWA 09'!C47</f>
        <v>36</v>
      </c>
      <c r="D39" s="39" t="str">
        <f>'LISTA STARTOWA 09'!D47</f>
        <v>K Fiat</v>
      </c>
      <c r="E39" s="25" t="str">
        <f>'LISTA STARTOWA 09'!E47</f>
        <v>FIAT</v>
      </c>
      <c r="F39" s="25" t="str">
        <f>'LISTA STARTOWA 09'!F47</f>
        <v>Fiat S.C.</v>
      </c>
      <c r="G39" s="25" t="str">
        <f>'LISTA STARTOWA 09'!G47</f>
        <v>AK Biecki</v>
      </c>
      <c r="H39" s="26">
        <v>79.650000000000006</v>
      </c>
      <c r="I39" s="26">
        <v>89.28</v>
      </c>
      <c r="J39" s="26">
        <v>78.819999999999993</v>
      </c>
      <c r="K39" s="26">
        <v>81.58</v>
      </c>
      <c r="L39" s="26">
        <v>88.86</v>
      </c>
      <c r="M39" s="26">
        <v>79.22</v>
      </c>
      <c r="N39" s="26">
        <v>80.53</v>
      </c>
      <c r="O39" s="26">
        <v>88.62</v>
      </c>
      <c r="P39" s="26">
        <v>78.75</v>
      </c>
      <c r="Q39" s="26">
        <v>10</v>
      </c>
      <c r="R39" s="35">
        <f t="shared" si="2"/>
        <v>755.31</v>
      </c>
      <c r="S39" s="165">
        <v>4</v>
      </c>
    </row>
    <row r="40" spans="1:19" ht="30">
      <c r="A40" s="109">
        <v>35</v>
      </c>
      <c r="B40" s="24" t="str">
        <f>'LISTA STARTOWA 09'!B38</f>
        <v>Michałek Andrzej
Michałek Magdalena</v>
      </c>
      <c r="C40" s="39">
        <f>'LISTA STARTOWA 09'!C38</f>
        <v>4</v>
      </c>
      <c r="D40" s="39" t="str">
        <f>'LISTA STARTOWA 09'!D38</f>
        <v>K Fiat</v>
      </c>
      <c r="E40" s="25" t="str">
        <f>'LISTA STARTOWA 09'!E38</f>
        <v>FIAT</v>
      </c>
      <c r="F40" s="25" t="str">
        <f>'LISTA STARTOWA 09'!F38</f>
        <v>FF S.C.</v>
      </c>
      <c r="G40" s="25" t="str">
        <f>'LISTA STARTOWA 09'!G38</f>
        <v>AK Stalowa Wola</v>
      </c>
      <c r="H40" s="26">
        <v>82.37</v>
      </c>
      <c r="I40" s="26">
        <v>91.7</v>
      </c>
      <c r="J40" s="26">
        <v>80.37</v>
      </c>
      <c r="K40" s="26">
        <v>81.05</v>
      </c>
      <c r="L40" s="26">
        <v>90.7</v>
      </c>
      <c r="M40" s="26">
        <v>81.2</v>
      </c>
      <c r="N40" s="26">
        <v>82.21</v>
      </c>
      <c r="O40" s="26">
        <v>91.07</v>
      </c>
      <c r="P40" s="26">
        <v>81.64</v>
      </c>
      <c r="Q40" s="26"/>
      <c r="R40" s="35">
        <f t="shared" si="2"/>
        <v>762.31000000000006</v>
      </c>
      <c r="S40" s="165">
        <v>5</v>
      </c>
    </row>
    <row r="41" spans="1:19" ht="30">
      <c r="A41" s="109">
        <v>36</v>
      </c>
      <c r="B41" s="24" t="str">
        <f>'LISTA STARTOWA 09'!B39</f>
        <v>Dunaj Ryszard
Dunaj Kinga</v>
      </c>
      <c r="C41" s="39">
        <f>'LISTA STARTOWA 09'!C39</f>
        <v>9</v>
      </c>
      <c r="D41" s="39" t="str">
        <f>'LISTA STARTOWA 09'!D39</f>
        <v>K Fiat</v>
      </c>
      <c r="E41" s="25" t="str">
        <f>'LISTA STARTOWA 09'!E39</f>
        <v>FIAT</v>
      </c>
      <c r="F41" s="25" t="str">
        <f>'LISTA STARTOWA 09'!F39</f>
        <v>FFC.C.</v>
      </c>
      <c r="G41" s="25" t="str">
        <f>'LISTA STARTOWA 09'!G39</f>
        <v>AMK Małopolski</v>
      </c>
      <c r="H41" s="26">
        <v>82.75</v>
      </c>
      <c r="I41" s="26">
        <v>90.75</v>
      </c>
      <c r="J41" s="26">
        <v>79.930000000000007</v>
      </c>
      <c r="K41" s="26">
        <f>82.67</f>
        <v>82.67</v>
      </c>
      <c r="L41" s="26">
        <v>90.39</v>
      </c>
      <c r="M41" s="26">
        <v>80.239999999999995</v>
      </c>
      <c r="N41" s="26">
        <v>83.06</v>
      </c>
      <c r="O41" s="26">
        <v>92.8</v>
      </c>
      <c r="P41" s="26">
        <v>80.72</v>
      </c>
      <c r="Q41" s="26"/>
      <c r="R41" s="35">
        <f t="shared" si="2"/>
        <v>763.31</v>
      </c>
      <c r="S41" s="165">
        <v>6</v>
      </c>
    </row>
    <row r="42" spans="1:19" ht="30">
      <c r="A42" s="109">
        <v>37</v>
      </c>
      <c r="B42" s="24" t="str">
        <f>'LISTA STARTOWA 09'!B48</f>
        <v>Marciniec Wojciech
Marciniec Marcin</v>
      </c>
      <c r="C42" s="39">
        <f>'LISTA STARTOWA 09'!C48</f>
        <v>38</v>
      </c>
      <c r="D42" s="39" t="str">
        <f>'LISTA STARTOWA 09'!D48</f>
        <v>K Fiat</v>
      </c>
      <c r="E42" s="25" t="str">
        <f>'LISTA STARTOWA 09'!E48</f>
        <v>FIAT</v>
      </c>
      <c r="F42" s="25" t="str">
        <f>'LISTA STARTOWA 09'!F48</f>
        <v>Fiat 126p</v>
      </c>
      <c r="G42" s="25" t="str">
        <f>'LISTA STARTOWA 09'!G48</f>
        <v>AK Stomil Dębica</v>
      </c>
      <c r="H42" s="194">
        <f>77.4+5</f>
        <v>82.4</v>
      </c>
      <c r="I42" s="26">
        <v>87.66</v>
      </c>
      <c r="J42" s="26">
        <v>80.36</v>
      </c>
      <c r="K42" s="26">
        <v>79.19</v>
      </c>
      <c r="L42" s="26">
        <v>88.37</v>
      </c>
      <c r="M42" s="26">
        <v>98.93</v>
      </c>
      <c r="N42" s="26">
        <v>81.78</v>
      </c>
      <c r="O42" s="26">
        <v>91.49</v>
      </c>
      <c r="P42" s="26">
        <v>82.39</v>
      </c>
      <c r="Q42" s="26"/>
      <c r="R42" s="35">
        <f t="shared" si="2"/>
        <v>772.57</v>
      </c>
      <c r="S42" s="165">
        <v>7</v>
      </c>
    </row>
    <row r="43" spans="1:19" ht="30">
      <c r="A43" s="109">
        <v>38</v>
      </c>
      <c r="B43" s="24" t="str">
        <f>'LISTA STARTOWA 09'!B36</f>
        <v>Szczepan Michał
Loch Rafał</v>
      </c>
      <c r="C43" s="39">
        <f>'LISTA STARTOWA 09'!C36</f>
        <v>2</v>
      </c>
      <c r="D43" s="39" t="str">
        <f>'LISTA STARTOWA 09'!D36</f>
        <v>K Fiat</v>
      </c>
      <c r="E43" s="25" t="str">
        <f>'LISTA STARTOWA 09'!E36</f>
        <v>FIAT</v>
      </c>
      <c r="F43" s="25" t="str">
        <f>'LISTA STARTOWA 09'!F36</f>
        <v>FFC.C.</v>
      </c>
      <c r="G43" s="25" t="str">
        <f>'LISTA STARTOWA 09'!G36</f>
        <v>niezrzeszony</v>
      </c>
      <c r="H43" s="194">
        <f>83.07+5+5</f>
        <v>93.07</v>
      </c>
      <c r="I43" s="26">
        <v>93.46</v>
      </c>
      <c r="J43" s="26">
        <v>79.56</v>
      </c>
      <c r="K43" s="26">
        <v>82.34</v>
      </c>
      <c r="L43" s="26">
        <v>91.45</v>
      </c>
      <c r="M43" s="26">
        <v>80.62</v>
      </c>
      <c r="N43" s="26">
        <v>82.74</v>
      </c>
      <c r="O43" s="26">
        <v>91.69</v>
      </c>
      <c r="P43" s="26">
        <v>81.83</v>
      </c>
      <c r="Q43" s="26"/>
      <c r="R43" s="35">
        <f t="shared" si="2"/>
        <v>776.7600000000001</v>
      </c>
      <c r="S43" s="165">
        <v>8</v>
      </c>
    </row>
    <row r="44" spans="1:19" ht="30">
      <c r="A44" s="109">
        <v>39</v>
      </c>
      <c r="B44" s="24" t="str">
        <f>'LISTA STARTOWA 09'!B41</f>
        <v>Dubanik Mariusz
Dubanik Grzegorz</v>
      </c>
      <c r="C44" s="39">
        <f>'LISTA STARTOWA 09'!C41</f>
        <v>11</v>
      </c>
      <c r="D44" s="39" t="str">
        <f>'LISTA STARTOWA 09'!D41</f>
        <v>K Fiat</v>
      </c>
      <c r="E44" s="25" t="str">
        <f>'LISTA STARTOWA 09'!E41</f>
        <v>FIAT</v>
      </c>
      <c r="F44" s="25" t="str">
        <f>'LISTA STARTOWA 09'!F41</f>
        <v>Fiat S.C.</v>
      </c>
      <c r="G44" s="25" t="str">
        <f>'LISTA STARTOWA 09'!G41</f>
        <v>AK Stomil Dębica</v>
      </c>
      <c r="H44" s="194">
        <f>83.72+10</f>
        <v>93.72</v>
      </c>
      <c r="I44" s="26">
        <v>91.49</v>
      </c>
      <c r="J44" s="26">
        <v>82.13</v>
      </c>
      <c r="K44" s="26">
        <v>81.11</v>
      </c>
      <c r="L44" s="26">
        <v>92.98</v>
      </c>
      <c r="M44" s="26">
        <v>81.66</v>
      </c>
      <c r="N44" s="26">
        <v>83.51</v>
      </c>
      <c r="O44" s="26">
        <v>93.25</v>
      </c>
      <c r="P44" s="26">
        <v>82.87</v>
      </c>
      <c r="Q44" s="26"/>
      <c r="R44" s="35">
        <f t="shared" si="2"/>
        <v>782.72</v>
      </c>
      <c r="S44" s="165">
        <v>9</v>
      </c>
    </row>
    <row r="45" spans="1:19" ht="30">
      <c r="A45" s="109">
        <v>40</v>
      </c>
      <c r="B45" s="24" t="str">
        <f>'LISTA STARTOWA 09'!B45</f>
        <v>Kawa Grzegorz
Tylec Marcin</v>
      </c>
      <c r="C45" s="39">
        <f>'LISTA STARTOWA 09'!C45</f>
        <v>26</v>
      </c>
      <c r="D45" s="39" t="str">
        <f>'LISTA STARTOWA 09'!D45</f>
        <v>K Fiat</v>
      </c>
      <c r="E45" s="25" t="str">
        <f>'LISTA STARTOWA 09'!E45</f>
        <v>FIAT</v>
      </c>
      <c r="F45" s="25" t="str">
        <f>'LISTA STARTOWA 09'!F45</f>
        <v>FFS.C.</v>
      </c>
      <c r="G45" s="25" t="str">
        <f>'LISTA STARTOWA 09'!G45</f>
        <v>A Mielecki</v>
      </c>
      <c r="H45" s="26">
        <v>90.99</v>
      </c>
      <c r="I45" s="26">
        <v>98.97</v>
      </c>
      <c r="J45" s="26">
        <v>86.24</v>
      </c>
      <c r="K45" s="26">
        <v>87.35</v>
      </c>
      <c r="L45" s="26">
        <v>97.87</v>
      </c>
      <c r="M45" s="26">
        <v>86.92</v>
      </c>
      <c r="N45" s="26">
        <v>89.02</v>
      </c>
      <c r="O45" s="26">
        <v>99.94</v>
      </c>
      <c r="P45" s="26">
        <v>96.66</v>
      </c>
      <c r="Q45" s="26"/>
      <c r="R45" s="35">
        <f t="shared" si="2"/>
        <v>833.95999999999992</v>
      </c>
      <c r="S45" s="165">
        <v>10</v>
      </c>
    </row>
    <row r="46" spans="1:19" ht="30">
      <c r="A46" s="109">
        <v>41</v>
      </c>
      <c r="B46" s="24" t="str">
        <f>'LISTA STARTOWA 09'!B42</f>
        <v>Szalacha Patryk
Banaś Maciej</v>
      </c>
      <c r="C46" s="39">
        <f>'LISTA STARTOWA 09'!C42</f>
        <v>15</v>
      </c>
      <c r="D46" s="39" t="str">
        <f>'LISTA STARTOWA 09'!D42</f>
        <v>K Fiat</v>
      </c>
      <c r="E46" s="25" t="str">
        <f>'LISTA STARTOWA 09'!E42</f>
        <v>FIAT</v>
      </c>
      <c r="F46" s="25" t="str">
        <f>'LISTA STARTOWA 09'!F42</f>
        <v>FF S.C.</v>
      </c>
      <c r="G46" s="25" t="str">
        <f>'LISTA STARTOWA 09'!G42</f>
        <v>niezrzeszony</v>
      </c>
      <c r="H46" s="194">
        <f>83.72+5+5</f>
        <v>93.72</v>
      </c>
      <c r="I46" s="26">
        <v>91.27</v>
      </c>
      <c r="J46" s="26">
        <v>79.760000000000005</v>
      </c>
      <c r="K46" s="26">
        <v>83.25</v>
      </c>
      <c r="L46" s="194">
        <f>112+5</f>
        <v>117</v>
      </c>
      <c r="M46" s="26">
        <v>82.1</v>
      </c>
      <c r="N46" s="26">
        <v>82.16</v>
      </c>
      <c r="O46" s="26" t="s">
        <v>66</v>
      </c>
      <c r="P46" s="26" t="s">
        <v>66</v>
      </c>
      <c r="Q46" s="26"/>
      <c r="R46" s="26" t="s">
        <v>66</v>
      </c>
      <c r="S46" s="165" t="s">
        <v>66</v>
      </c>
    </row>
    <row r="47" spans="1:19" ht="30">
      <c r="A47" s="109">
        <v>42</v>
      </c>
      <c r="B47" s="24" t="str">
        <f>'LISTA STARTOWA 09'!B43</f>
        <v>Bogusławski Aleksander
Rusinek Tomasz</v>
      </c>
      <c r="C47" s="39">
        <f>'LISTA STARTOWA 09'!C43</f>
        <v>16</v>
      </c>
      <c r="D47" s="39" t="str">
        <f>'LISTA STARTOWA 09'!D43</f>
        <v>K Fiat</v>
      </c>
      <c r="E47" s="25" t="str">
        <f>'LISTA STARTOWA 09'!E43</f>
        <v>FIAT</v>
      </c>
      <c r="F47" s="25" t="str">
        <f>'LISTA STARTOWA 09'!F43</f>
        <v>FF S.C.</v>
      </c>
      <c r="G47" s="25" t="str">
        <f>'LISTA STARTOWA 09'!G43</f>
        <v>AK Stalowa Wola</v>
      </c>
      <c r="H47" s="194">
        <f>77.41+5</f>
        <v>82.41</v>
      </c>
      <c r="I47" s="26">
        <v>86.34</v>
      </c>
      <c r="J47" s="26">
        <v>77.66</v>
      </c>
      <c r="K47" s="26" t="s">
        <v>66</v>
      </c>
      <c r="L47" s="26" t="s">
        <v>66</v>
      </c>
      <c r="M47" s="26" t="s">
        <v>66</v>
      </c>
      <c r="N47" s="26" t="s">
        <v>66</v>
      </c>
      <c r="O47" s="26" t="s">
        <v>66</v>
      </c>
      <c r="P47" s="26" t="s">
        <v>66</v>
      </c>
      <c r="Q47" s="26"/>
      <c r="R47" s="26" t="s">
        <v>66</v>
      </c>
      <c r="S47" s="165" t="s">
        <v>66</v>
      </c>
    </row>
    <row r="48" spans="1:19" ht="30.75" thickBot="1">
      <c r="A48" s="111">
        <v>43</v>
      </c>
      <c r="B48" s="173" t="str">
        <f>'LISTA STARTOWA 09'!B46</f>
        <v>Sidur Arkadiusz
Kokoszka Marek</v>
      </c>
      <c r="C48" s="174">
        <f>'LISTA STARTOWA 09'!C46</f>
        <v>29</v>
      </c>
      <c r="D48" s="174" t="str">
        <f>'LISTA STARTOWA 09'!D46</f>
        <v>K Fiat</v>
      </c>
      <c r="E48" s="175" t="str">
        <f>'LISTA STARTOWA 09'!E46</f>
        <v>FIAT</v>
      </c>
      <c r="F48" s="175" t="str">
        <f>'LISTA STARTOWA 09'!F46</f>
        <v>FF C.C.</v>
      </c>
      <c r="G48" s="175" t="str">
        <f>'LISTA STARTOWA 09'!G46</f>
        <v>A Mielecki</v>
      </c>
      <c r="H48" s="198">
        <f>81.54+5</f>
        <v>86.54</v>
      </c>
      <c r="I48" s="176" t="s">
        <v>66</v>
      </c>
      <c r="J48" s="176" t="s">
        <v>66</v>
      </c>
      <c r="K48" s="176" t="s">
        <v>66</v>
      </c>
      <c r="L48" s="176" t="s">
        <v>66</v>
      </c>
      <c r="M48" s="176" t="s">
        <v>66</v>
      </c>
      <c r="N48" s="176" t="s">
        <v>66</v>
      </c>
      <c r="O48" s="176" t="s">
        <v>66</v>
      </c>
      <c r="P48" s="176" t="s">
        <v>66</v>
      </c>
      <c r="Q48" s="176"/>
      <c r="R48" s="176" t="s">
        <v>66</v>
      </c>
      <c r="S48" s="177" t="s">
        <v>66</v>
      </c>
    </row>
    <row r="49" spans="1:19" ht="15.75" thickTop="1">
      <c r="A49" s="8"/>
      <c r="B49" s="11"/>
      <c r="C49" s="48"/>
      <c r="D49" s="11"/>
      <c r="E49" s="154"/>
      <c r="F49" s="12"/>
      <c r="G49" s="5"/>
      <c r="H49" s="23" t="str">
        <f>IF(H52&lt;H50,"PRZE"," ")</f>
        <v xml:space="preserve"> </v>
      </c>
      <c r="I49" s="23" t="str">
        <f t="shared" ref="I49:J49" si="3">IF(I52&lt;I50,"PRZE"," ")</f>
        <v xml:space="preserve"> </v>
      </c>
      <c r="J49" s="23" t="str">
        <f t="shared" si="3"/>
        <v xml:space="preserve"> </v>
      </c>
      <c r="Q49" s="1"/>
    </row>
    <row r="50" spans="1:19" ht="15.75">
      <c r="B50" s="13"/>
      <c r="C50" s="14"/>
      <c r="D50" s="13"/>
      <c r="E50" s="14"/>
      <c r="F50" s="15"/>
      <c r="G50" s="40"/>
      <c r="H50" s="188">
        <v>69.61</v>
      </c>
      <c r="I50" s="188">
        <v>72</v>
      </c>
      <c r="J50" s="189">
        <v>69.61</v>
      </c>
      <c r="K50" s="188"/>
      <c r="L50" s="188"/>
      <c r="M50" s="186"/>
      <c r="N50" s="188"/>
      <c r="O50" s="188"/>
      <c r="P50" s="189"/>
      <c r="Q50" s="7"/>
      <c r="R50" s="64">
        <v>107.75</v>
      </c>
      <c r="S50" s="62" t="s">
        <v>23</v>
      </c>
    </row>
    <row r="51" spans="1:19" ht="16.5" thickBot="1">
      <c r="B51" s="57" t="s">
        <v>99</v>
      </c>
      <c r="C51" s="58"/>
      <c r="D51" s="41"/>
      <c r="E51" s="59" t="s">
        <v>149</v>
      </c>
      <c r="F51" s="60"/>
      <c r="G51" s="61" t="s">
        <v>100</v>
      </c>
      <c r="I51" s="192"/>
      <c r="J51" s="84"/>
      <c r="K51" s="14"/>
      <c r="L51" s="14"/>
      <c r="M51" s="7"/>
      <c r="N51" s="14"/>
      <c r="O51" s="192"/>
      <c r="P51" s="192"/>
      <c r="Q51" s="31"/>
      <c r="R51" s="94">
        <v>95.63</v>
      </c>
      <c r="S51" s="63" t="s">
        <v>24</v>
      </c>
    </row>
    <row r="52" spans="1:19" ht="18.75" thickBot="1">
      <c r="G52" s="6"/>
      <c r="H52" s="190">
        <f>MIN(H6:H48)</f>
        <v>69.89</v>
      </c>
      <c r="I52" s="190">
        <f t="shared" ref="I52:J52" si="4">MIN(I6:I48)</f>
        <v>79.39</v>
      </c>
      <c r="J52" s="190">
        <f t="shared" si="4"/>
        <v>69.959999999999994</v>
      </c>
      <c r="K52" s="190"/>
      <c r="L52" s="190"/>
      <c r="M52" s="187"/>
      <c r="N52" s="190"/>
      <c r="O52" s="190"/>
      <c r="P52" s="190"/>
      <c r="Q52" s="31"/>
      <c r="R52" s="159">
        <v>95.35</v>
      </c>
      <c r="S52" s="95" t="s">
        <v>101</v>
      </c>
    </row>
    <row r="53" spans="1:19">
      <c r="M53" s="191"/>
      <c r="Q53" s="31"/>
      <c r="R53" s="32"/>
    </row>
    <row r="54" spans="1:19">
      <c r="M54" s="191"/>
    </row>
    <row r="55" spans="1:19">
      <c r="G55" s="160" t="s">
        <v>54</v>
      </c>
      <c r="H55" s="34">
        <f>MIN(H6:H8)*1.5</f>
        <v>110.85000000000001</v>
      </c>
      <c r="I55" s="34">
        <f t="shared" ref="I55:P55" si="5">MIN(I6:I8)*1.5</f>
        <v>123.18</v>
      </c>
      <c r="J55" s="34">
        <f t="shared" si="5"/>
        <v>106.47</v>
      </c>
      <c r="K55" s="34">
        <f t="shared" si="5"/>
        <v>108.44999999999999</v>
      </c>
      <c r="L55" s="34">
        <f t="shared" si="5"/>
        <v>119.625</v>
      </c>
      <c r="M55" s="34">
        <f t="shared" si="5"/>
        <v>106.785</v>
      </c>
      <c r="N55" s="34">
        <f t="shared" si="5"/>
        <v>114.73499999999999</v>
      </c>
      <c r="O55" s="34">
        <f t="shared" si="5"/>
        <v>121.71000000000001</v>
      </c>
      <c r="P55" s="34">
        <f t="shared" si="5"/>
        <v>105.10499999999999</v>
      </c>
    </row>
    <row r="56" spans="1:19" ht="3.75" customHeight="1">
      <c r="G56" s="161"/>
      <c r="H56" s="31"/>
      <c r="I56" s="31"/>
      <c r="J56" s="31"/>
      <c r="K56" s="31"/>
      <c r="L56" s="31"/>
      <c r="M56" s="31"/>
      <c r="N56" s="31"/>
      <c r="O56" s="31"/>
      <c r="P56" s="31"/>
    </row>
    <row r="57" spans="1:19">
      <c r="G57" s="160" t="s">
        <v>53</v>
      </c>
      <c r="H57" s="34">
        <f>MIN(H9:H13)*1.5</f>
        <v>104.83500000000001</v>
      </c>
      <c r="I57" s="34">
        <f t="shared" ref="I57:P57" si="6">MIN(I9:I13)*1.5</f>
        <v>119.08500000000001</v>
      </c>
      <c r="J57" s="34">
        <f t="shared" si="6"/>
        <v>104.94</v>
      </c>
      <c r="K57" s="34">
        <f t="shared" si="6"/>
        <v>104.625</v>
      </c>
      <c r="L57" s="34">
        <f t="shared" si="6"/>
        <v>117.76500000000001</v>
      </c>
      <c r="M57" s="34">
        <f t="shared" si="6"/>
        <v>102.84</v>
      </c>
      <c r="N57" s="34">
        <f t="shared" si="6"/>
        <v>106.30500000000001</v>
      </c>
      <c r="O57" s="34">
        <f t="shared" si="6"/>
        <v>120.61499999999999</v>
      </c>
      <c r="P57" s="34">
        <f t="shared" si="6"/>
        <v>104.41499999999999</v>
      </c>
    </row>
    <row r="58" spans="1:19" ht="3.75" customHeight="1">
      <c r="G58" s="160"/>
      <c r="H58" s="31"/>
      <c r="I58" s="31"/>
      <c r="J58" s="31"/>
      <c r="K58" s="31"/>
      <c r="L58" s="31"/>
      <c r="M58" s="31"/>
      <c r="N58" s="31"/>
      <c r="O58" s="31"/>
      <c r="P58" s="31"/>
    </row>
    <row r="59" spans="1:19">
      <c r="G59" s="160" t="s">
        <v>52</v>
      </c>
      <c r="H59" s="34">
        <f>MIN(H14:H22)*1.5</f>
        <v>109.85999999999999</v>
      </c>
      <c r="I59" s="34">
        <f t="shared" ref="I59:P59" si="7">MIN(I14:I22)*1.5</f>
        <v>123.33</v>
      </c>
      <c r="J59" s="34">
        <f t="shared" si="7"/>
        <v>105.285</v>
      </c>
      <c r="K59" s="34">
        <f t="shared" si="7"/>
        <v>109.39500000000001</v>
      </c>
      <c r="L59" s="34">
        <f t="shared" si="7"/>
        <v>122.19</v>
      </c>
      <c r="M59" s="34">
        <f t="shared" si="7"/>
        <v>106.38</v>
      </c>
      <c r="N59" s="34">
        <f t="shared" si="7"/>
        <v>110.39999999999999</v>
      </c>
      <c r="O59" s="34">
        <f t="shared" si="7"/>
        <v>123.09</v>
      </c>
      <c r="P59" s="34">
        <f t="shared" si="7"/>
        <v>106.35000000000001</v>
      </c>
    </row>
    <row r="60" spans="1:19" ht="3.75" customHeight="1">
      <c r="G60" s="160"/>
      <c r="H60" s="33"/>
      <c r="I60" s="33"/>
      <c r="J60" s="33"/>
      <c r="K60" s="33"/>
      <c r="L60" s="33"/>
      <c r="M60" s="33"/>
      <c r="N60" s="33"/>
      <c r="O60" s="33"/>
      <c r="P60" s="33"/>
    </row>
    <row r="61" spans="1:19">
      <c r="G61" s="160" t="s">
        <v>51</v>
      </c>
      <c r="H61" s="34">
        <f>MIN(H23:H30)*1.5</f>
        <v>110.82</v>
      </c>
      <c r="I61" s="34">
        <f t="shared" ref="I61:P61" si="8">MIN(I23:I30)*1.5</f>
        <v>125.41499999999999</v>
      </c>
      <c r="J61" s="34">
        <f t="shared" si="8"/>
        <v>109.33500000000001</v>
      </c>
      <c r="K61" s="34">
        <f t="shared" si="8"/>
        <v>109.60499999999999</v>
      </c>
      <c r="L61" s="34">
        <f t="shared" si="8"/>
        <v>122.58</v>
      </c>
      <c r="M61" s="34">
        <f t="shared" si="8"/>
        <v>109.57499999999999</v>
      </c>
      <c r="N61" s="34">
        <f t="shared" si="8"/>
        <v>111.96000000000001</v>
      </c>
      <c r="O61" s="34">
        <f t="shared" si="8"/>
        <v>122.92500000000001</v>
      </c>
      <c r="P61" s="34">
        <f t="shared" si="8"/>
        <v>108.75</v>
      </c>
    </row>
    <row r="62" spans="1:19" ht="3.75" customHeight="1">
      <c r="G62" s="160"/>
    </row>
    <row r="63" spans="1:19">
      <c r="G63" s="160" t="s">
        <v>50</v>
      </c>
      <c r="H63" s="34">
        <f>MIN(H31:H35)*1.5</f>
        <v>120.18</v>
      </c>
      <c r="I63" s="34">
        <f t="shared" ref="I63:P63" si="9">MIN(I31:I35)*1.5</f>
        <v>130.245</v>
      </c>
      <c r="J63" s="34">
        <f t="shared" si="9"/>
        <v>115.785</v>
      </c>
      <c r="K63" s="34">
        <f t="shared" si="9"/>
        <v>119.07</v>
      </c>
      <c r="L63" s="34">
        <f t="shared" si="9"/>
        <v>130.59</v>
      </c>
      <c r="M63" s="34">
        <f t="shared" si="9"/>
        <v>116.35499999999999</v>
      </c>
      <c r="N63" s="34">
        <f t="shared" si="9"/>
        <v>118.33500000000001</v>
      </c>
      <c r="O63" s="34">
        <f t="shared" si="9"/>
        <v>129.72</v>
      </c>
      <c r="P63" s="34">
        <f t="shared" si="9"/>
        <v>115.89000000000001</v>
      </c>
    </row>
    <row r="64" spans="1:19" ht="3.75" customHeight="1">
      <c r="G64" s="161"/>
    </row>
    <row r="65" spans="7:16">
      <c r="G65" s="160" t="s">
        <v>96</v>
      </c>
      <c r="H65" s="34">
        <f>MIN(H36:H48)*1.5</f>
        <v>116.07</v>
      </c>
      <c r="I65" s="34">
        <f t="shared" ref="I65:P65" si="10">MIN(I36:I48)*1.5</f>
        <v>126.705</v>
      </c>
      <c r="J65" s="34">
        <f t="shared" si="10"/>
        <v>114.97500000000001</v>
      </c>
      <c r="K65" s="34">
        <f t="shared" si="10"/>
        <v>115.53</v>
      </c>
      <c r="L65" s="34">
        <f t="shared" si="10"/>
        <v>129.70499999999998</v>
      </c>
      <c r="M65" s="34">
        <f t="shared" si="10"/>
        <v>114.81</v>
      </c>
      <c r="N65" s="34">
        <f t="shared" si="10"/>
        <v>117.465</v>
      </c>
      <c r="O65" s="34">
        <f t="shared" si="10"/>
        <v>130.815</v>
      </c>
      <c r="P65" s="34">
        <f t="shared" si="10"/>
        <v>116.295</v>
      </c>
    </row>
  </sheetData>
  <autoFilter ref="A5:S52">
    <filterColumn colId="3" showButton="0"/>
  </autoFilter>
  <sortState ref="B36:R48">
    <sortCondition ref="R36:R48"/>
  </sortState>
  <mergeCells count="7">
    <mergeCell ref="G3:P3"/>
    <mergeCell ref="G1:P1"/>
    <mergeCell ref="A4:F4"/>
    <mergeCell ref="D5:E5"/>
    <mergeCell ref="A3:F3"/>
    <mergeCell ref="A2:F2"/>
    <mergeCell ref="A1:F1"/>
  </mergeCells>
  <phoneticPr fontId="0" type="noConversion"/>
  <printOptions horizontalCentered="1"/>
  <pageMargins left="0.15748031496062992" right="0.19685039370078741" top="0.23622047244094491" bottom="0.15748031496062992" header="0.27559055118110237" footer="0.11811023622047245"/>
  <pageSetup paperSize="8" scale="99" fitToHeight="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workbookViewId="0">
      <selection activeCell="B7" sqref="B7"/>
    </sheetView>
  </sheetViews>
  <sheetFormatPr defaultRowHeight="12.75"/>
  <cols>
    <col min="1" max="1" width="16.140625" bestFit="1" customWidth="1"/>
    <col min="2" max="2" width="5.5703125" bestFit="1" customWidth="1"/>
    <col min="3" max="3" width="13.85546875" bestFit="1" customWidth="1"/>
    <col min="4" max="4" width="5.5703125" bestFit="1" customWidth="1"/>
    <col min="6" max="6" width="3.85546875" style="75" bestFit="1" customWidth="1"/>
    <col min="7" max="7" width="14.5703125" style="74" customWidth="1"/>
    <col min="8" max="9" width="15.85546875" bestFit="1" customWidth="1"/>
    <col min="10" max="10" width="20.5703125" customWidth="1"/>
    <col min="11" max="11" width="3.85546875" style="75" bestFit="1" customWidth="1"/>
    <col min="12" max="12" width="14" style="74" customWidth="1"/>
    <col min="13" max="13" width="20.5703125" customWidth="1"/>
    <col min="14" max="14" width="19.7109375" customWidth="1"/>
  </cols>
  <sheetData>
    <row r="1" spans="1:14" ht="15">
      <c r="A1" t="s">
        <v>58</v>
      </c>
      <c r="B1" s="65">
        <v>0.41666666666666669</v>
      </c>
      <c r="F1" s="76" t="s">
        <v>36</v>
      </c>
      <c r="G1" s="77" t="s">
        <v>67</v>
      </c>
      <c r="H1" s="77" t="s">
        <v>68</v>
      </c>
      <c r="I1" s="78" t="s">
        <v>44</v>
      </c>
      <c r="J1" s="66"/>
      <c r="K1" s="76" t="s">
        <v>36</v>
      </c>
      <c r="L1" s="77" t="s">
        <v>67</v>
      </c>
      <c r="M1" s="77" t="s">
        <v>68</v>
      </c>
      <c r="N1" s="78" t="s">
        <v>44</v>
      </c>
    </row>
    <row r="2" spans="1:14" ht="22.5" customHeight="1">
      <c r="A2" t="s">
        <v>59</v>
      </c>
      <c r="B2" s="65">
        <f>B1+((B3-1)*B4)</f>
        <v>0.47500000000000003</v>
      </c>
      <c r="F2" s="79">
        <v>1</v>
      </c>
      <c r="G2" s="68"/>
      <c r="H2" s="68"/>
      <c r="I2" s="80">
        <f>D6</f>
        <v>0.49930555555555556</v>
      </c>
      <c r="J2" s="66"/>
      <c r="K2" s="79">
        <v>1</v>
      </c>
      <c r="L2" s="68"/>
      <c r="M2" s="68"/>
      <c r="N2" s="80">
        <f>D10</f>
        <v>0.58194444444444438</v>
      </c>
    </row>
    <row r="3" spans="1:14" ht="22.5" customHeight="1">
      <c r="A3" t="s">
        <v>56</v>
      </c>
      <c r="B3">
        <v>43</v>
      </c>
      <c r="C3" s="81" t="s">
        <v>64</v>
      </c>
      <c r="D3" s="65">
        <v>4.3055555555555562E-2</v>
      </c>
      <c r="F3" s="79">
        <v>2</v>
      </c>
      <c r="G3" s="68"/>
      <c r="H3" s="67"/>
      <c r="I3" s="80">
        <f>I2+$B$4</f>
        <v>0.50069444444444444</v>
      </c>
      <c r="J3" s="66"/>
      <c r="K3" s="79">
        <v>2</v>
      </c>
      <c r="L3" s="68"/>
      <c r="M3" s="67"/>
      <c r="N3" s="80">
        <f>N2+$B$4</f>
        <v>0.58333333333333326</v>
      </c>
    </row>
    <row r="4" spans="1:14" ht="22.5" customHeight="1">
      <c r="A4" t="s">
        <v>57</v>
      </c>
      <c r="B4" s="65">
        <v>1.3888888888888889E-3</v>
      </c>
      <c r="C4" s="81" t="s">
        <v>65</v>
      </c>
      <c r="D4" s="65">
        <v>3.9583333333333331E-2</v>
      </c>
      <c r="F4" s="79">
        <v>3</v>
      </c>
      <c r="G4" s="68"/>
      <c r="H4" s="68"/>
      <c r="I4" s="80">
        <f>I3+$B$4</f>
        <v>0.50208333333333333</v>
      </c>
      <c r="J4" s="66"/>
      <c r="K4" s="79">
        <v>3</v>
      </c>
      <c r="L4" s="68"/>
      <c r="M4" s="68"/>
      <c r="N4" s="80">
        <f>N3+$B$4</f>
        <v>0.58472222222222214</v>
      </c>
    </row>
    <row r="5" spans="1:14" ht="22.5" customHeight="1">
      <c r="A5" t="s">
        <v>97</v>
      </c>
      <c r="D5" s="65">
        <v>8.3333333333333329E-2</v>
      </c>
      <c r="F5" s="79">
        <v>4</v>
      </c>
      <c r="G5" s="68"/>
      <c r="H5" s="68"/>
      <c r="I5" s="80">
        <f t="shared" ref="I5:I44" si="0">I4+$B$4</f>
        <v>0.50347222222222221</v>
      </c>
      <c r="J5" s="66"/>
      <c r="K5" s="79">
        <v>4</v>
      </c>
      <c r="L5" s="68"/>
      <c r="M5" s="68"/>
      <c r="N5" s="80">
        <f t="shared" ref="N5:N44" si="1">N4+$B$4</f>
        <v>0.58611111111111103</v>
      </c>
    </row>
    <row r="6" spans="1:14" ht="22.5" customHeight="1">
      <c r="A6" t="s">
        <v>55</v>
      </c>
      <c r="B6" s="65">
        <f>B1+$D$3</f>
        <v>0.45972222222222225</v>
      </c>
      <c r="C6" s="81" t="s">
        <v>60</v>
      </c>
      <c r="D6" s="65">
        <f>B6+$D$4</f>
        <v>0.49930555555555556</v>
      </c>
      <c r="E6" s="65"/>
      <c r="F6" s="79">
        <v>5</v>
      </c>
      <c r="G6" s="68"/>
      <c r="H6" s="68"/>
      <c r="I6" s="80">
        <f t="shared" si="0"/>
        <v>0.50486111111111109</v>
      </c>
      <c r="J6" s="66"/>
      <c r="K6" s="79">
        <v>5</v>
      </c>
      <c r="L6" s="68"/>
      <c r="M6" s="68"/>
      <c r="N6" s="80">
        <f t="shared" si="1"/>
        <v>0.58749999999999991</v>
      </c>
    </row>
    <row r="7" spans="1:14" ht="22.5" customHeight="1">
      <c r="A7" t="s">
        <v>62</v>
      </c>
      <c r="B7" s="65">
        <f>B2+$D$3</f>
        <v>0.5180555555555556</v>
      </c>
      <c r="C7" s="81" t="s">
        <v>63</v>
      </c>
      <c r="D7" s="65">
        <f>B7+$D$4</f>
        <v>0.55763888888888891</v>
      </c>
      <c r="F7" s="79">
        <v>6</v>
      </c>
      <c r="G7" s="68"/>
      <c r="H7" s="68"/>
      <c r="I7" s="80">
        <f t="shared" si="0"/>
        <v>0.50624999999999998</v>
      </c>
      <c r="J7" s="66"/>
      <c r="K7" s="79">
        <v>6</v>
      </c>
      <c r="L7" s="68"/>
      <c r="M7" s="68"/>
      <c r="N7" s="80">
        <f t="shared" si="1"/>
        <v>0.5888888888888888</v>
      </c>
    </row>
    <row r="8" spans="1:14" ht="22.5" customHeight="1">
      <c r="C8" s="81"/>
      <c r="F8" s="79">
        <v>7</v>
      </c>
      <c r="G8" s="68"/>
      <c r="H8" s="68"/>
      <c r="I8" s="80">
        <f t="shared" si="0"/>
        <v>0.50763888888888886</v>
      </c>
      <c r="J8" s="66"/>
      <c r="K8" s="79">
        <v>7</v>
      </c>
      <c r="L8" s="68"/>
      <c r="M8" s="68"/>
      <c r="N8" s="80">
        <f t="shared" si="1"/>
        <v>0.59027777777777768</v>
      </c>
    </row>
    <row r="9" spans="1:14" ht="22.5" customHeight="1">
      <c r="A9" t="s">
        <v>98</v>
      </c>
      <c r="C9" s="81"/>
      <c r="F9" s="79">
        <v>8</v>
      </c>
      <c r="G9" s="68"/>
      <c r="H9" s="68"/>
      <c r="I9" s="80">
        <f t="shared" si="0"/>
        <v>0.50902777777777775</v>
      </c>
      <c r="J9" s="66"/>
      <c r="K9" s="79">
        <v>8</v>
      </c>
      <c r="L9" s="68"/>
      <c r="M9" s="68"/>
      <c r="N9" s="80">
        <f t="shared" si="1"/>
        <v>0.59166666666666656</v>
      </c>
    </row>
    <row r="10" spans="1:14" ht="22.5" customHeight="1">
      <c r="A10" t="s">
        <v>55</v>
      </c>
      <c r="B10" s="65">
        <f>D6+$D$3</f>
        <v>0.54236111111111107</v>
      </c>
      <c r="C10" s="81" t="s">
        <v>60</v>
      </c>
      <c r="D10" s="65">
        <f>B10+$D$4</f>
        <v>0.58194444444444438</v>
      </c>
      <c r="F10" s="79">
        <v>9</v>
      </c>
      <c r="G10" s="68"/>
      <c r="H10" s="68"/>
      <c r="I10" s="80">
        <f t="shared" si="0"/>
        <v>0.51041666666666663</v>
      </c>
      <c r="J10" s="66"/>
      <c r="K10" s="79">
        <v>9</v>
      </c>
      <c r="L10" s="68"/>
      <c r="M10" s="68"/>
      <c r="N10" s="80">
        <f t="shared" si="1"/>
        <v>0.59305555555555545</v>
      </c>
    </row>
    <row r="11" spans="1:14" ht="22.5" customHeight="1">
      <c r="A11" t="s">
        <v>62</v>
      </c>
      <c r="B11" s="65">
        <f>D7+$D$3</f>
        <v>0.60069444444444442</v>
      </c>
      <c r="C11" s="81" t="s">
        <v>63</v>
      </c>
      <c r="D11" s="65">
        <f>B11+$D$4</f>
        <v>0.64027777777777772</v>
      </c>
      <c r="F11" s="79">
        <v>10</v>
      </c>
      <c r="G11" s="68"/>
      <c r="H11" s="68"/>
      <c r="I11" s="80">
        <f t="shared" si="0"/>
        <v>0.51180555555555551</v>
      </c>
      <c r="J11" s="66"/>
      <c r="K11" s="79">
        <v>10</v>
      </c>
      <c r="L11" s="68"/>
      <c r="M11" s="68"/>
      <c r="N11" s="80">
        <f t="shared" si="1"/>
        <v>0.59444444444444433</v>
      </c>
    </row>
    <row r="12" spans="1:14" ht="22.5" customHeight="1">
      <c r="C12" s="81"/>
      <c r="F12" s="79">
        <v>11</v>
      </c>
      <c r="G12" s="68"/>
      <c r="H12" s="68"/>
      <c r="I12" s="80">
        <f t="shared" si="0"/>
        <v>0.5131944444444444</v>
      </c>
      <c r="J12" s="66"/>
      <c r="K12" s="79">
        <v>11</v>
      </c>
      <c r="L12" s="68"/>
      <c r="M12" s="68"/>
      <c r="N12" s="80">
        <f t="shared" si="1"/>
        <v>0.59583333333333321</v>
      </c>
    </row>
    <row r="13" spans="1:14" ht="22.5" customHeight="1">
      <c r="A13" t="s">
        <v>61</v>
      </c>
      <c r="C13" s="81"/>
      <c r="F13" s="79">
        <v>12</v>
      </c>
      <c r="G13" s="68"/>
      <c r="H13" s="68"/>
      <c r="I13" s="80">
        <f t="shared" si="0"/>
        <v>0.51458333333333328</v>
      </c>
      <c r="J13" s="66"/>
      <c r="K13" s="79">
        <v>12</v>
      </c>
      <c r="L13" s="68"/>
      <c r="M13" s="68"/>
      <c r="N13" s="80">
        <f t="shared" si="1"/>
        <v>0.5972222222222221</v>
      </c>
    </row>
    <row r="14" spans="1:14" ht="22.5" customHeight="1">
      <c r="A14" t="s">
        <v>55</v>
      </c>
      <c r="B14" s="65">
        <f>D10+D3</f>
        <v>0.62499999999999989</v>
      </c>
      <c r="C14" s="81"/>
      <c r="D14" s="65"/>
      <c r="F14" s="79">
        <v>13</v>
      </c>
      <c r="G14" s="68"/>
      <c r="H14" s="68"/>
      <c r="I14" s="80">
        <f t="shared" si="0"/>
        <v>0.51597222222222217</v>
      </c>
      <c r="J14" s="66"/>
      <c r="K14" s="79">
        <v>13</v>
      </c>
      <c r="L14" s="68"/>
      <c r="M14" s="68"/>
      <c r="N14" s="80">
        <f t="shared" si="1"/>
        <v>0.59861111111111098</v>
      </c>
    </row>
    <row r="15" spans="1:14" ht="22.5" customHeight="1">
      <c r="A15" t="s">
        <v>62</v>
      </c>
      <c r="B15" s="65">
        <f>D11+D3</f>
        <v>0.68333333333333324</v>
      </c>
      <c r="C15" s="81"/>
      <c r="D15" s="65"/>
      <c r="F15" s="79">
        <v>14</v>
      </c>
      <c r="G15" s="68"/>
      <c r="H15" s="68"/>
      <c r="I15" s="80">
        <f t="shared" si="0"/>
        <v>0.51736111111111105</v>
      </c>
      <c r="J15" s="66"/>
      <c r="K15" s="79">
        <v>14</v>
      </c>
      <c r="L15" s="68"/>
      <c r="M15" s="68"/>
      <c r="N15" s="80">
        <f t="shared" si="1"/>
        <v>0.59999999999999987</v>
      </c>
    </row>
    <row r="16" spans="1:14" ht="22.5" customHeight="1">
      <c r="F16" s="79">
        <v>15</v>
      </c>
      <c r="G16" s="68"/>
      <c r="H16" s="68"/>
      <c r="I16" s="80">
        <f t="shared" si="0"/>
        <v>0.51874999999999993</v>
      </c>
      <c r="J16" s="66"/>
      <c r="K16" s="79">
        <v>15</v>
      </c>
      <c r="L16" s="68"/>
      <c r="M16" s="68"/>
      <c r="N16" s="80">
        <f t="shared" si="1"/>
        <v>0.60138888888888875</v>
      </c>
    </row>
    <row r="17" spans="6:14" ht="22.5" customHeight="1">
      <c r="F17" s="79">
        <v>16</v>
      </c>
      <c r="G17" s="68"/>
      <c r="H17" s="68"/>
      <c r="I17" s="80">
        <f t="shared" si="0"/>
        <v>0.52013888888888882</v>
      </c>
      <c r="J17" s="66"/>
      <c r="K17" s="79">
        <v>16</v>
      </c>
      <c r="L17" s="68"/>
      <c r="M17" s="68"/>
      <c r="N17" s="80">
        <f t="shared" si="1"/>
        <v>0.60277777777777763</v>
      </c>
    </row>
    <row r="18" spans="6:14" ht="22.5" customHeight="1">
      <c r="F18" s="79">
        <v>17</v>
      </c>
      <c r="G18" s="71"/>
      <c r="H18" s="68"/>
      <c r="I18" s="80">
        <f t="shared" si="0"/>
        <v>0.5215277777777777</v>
      </c>
      <c r="J18" s="66"/>
      <c r="K18" s="79">
        <v>17</v>
      </c>
      <c r="L18" s="71"/>
      <c r="M18" s="68"/>
      <c r="N18" s="80">
        <f t="shared" si="1"/>
        <v>0.60416666666666652</v>
      </c>
    </row>
    <row r="19" spans="6:14" ht="22.5" customHeight="1">
      <c r="F19" s="79">
        <v>18</v>
      </c>
      <c r="G19" s="68"/>
      <c r="H19" s="68"/>
      <c r="I19" s="80">
        <f t="shared" si="0"/>
        <v>0.52291666666666659</v>
      </c>
      <c r="J19" s="66"/>
      <c r="K19" s="79">
        <v>18</v>
      </c>
      <c r="L19" s="68"/>
      <c r="M19" s="68"/>
      <c r="N19" s="80">
        <f t="shared" si="1"/>
        <v>0.6055555555555554</v>
      </c>
    </row>
    <row r="20" spans="6:14" ht="22.5" customHeight="1">
      <c r="F20" s="79">
        <v>19</v>
      </c>
      <c r="G20" s="68"/>
      <c r="H20" s="68"/>
      <c r="I20" s="80">
        <f t="shared" si="0"/>
        <v>0.52430555555555547</v>
      </c>
      <c r="J20" s="66"/>
      <c r="K20" s="79">
        <v>19</v>
      </c>
      <c r="L20" s="68"/>
      <c r="M20" s="68"/>
      <c r="N20" s="80">
        <f t="shared" si="1"/>
        <v>0.60694444444444429</v>
      </c>
    </row>
    <row r="21" spans="6:14" ht="22.5" customHeight="1">
      <c r="F21" s="79">
        <v>20</v>
      </c>
      <c r="G21" s="68"/>
      <c r="H21" s="67"/>
      <c r="I21" s="80">
        <f t="shared" si="0"/>
        <v>0.52569444444444435</v>
      </c>
      <c r="J21" s="66"/>
      <c r="K21" s="79">
        <v>20</v>
      </c>
      <c r="L21" s="68"/>
      <c r="M21" s="67"/>
      <c r="N21" s="80">
        <f t="shared" si="1"/>
        <v>0.60833333333333317</v>
      </c>
    </row>
    <row r="22" spans="6:14" ht="22.5" customHeight="1">
      <c r="F22" s="79">
        <v>21</v>
      </c>
      <c r="G22" s="68"/>
      <c r="H22" s="67"/>
      <c r="I22" s="80">
        <f t="shared" si="0"/>
        <v>0.52708333333333324</v>
      </c>
      <c r="J22" s="66"/>
      <c r="K22" s="79">
        <v>21</v>
      </c>
      <c r="L22" s="68"/>
      <c r="M22" s="67"/>
      <c r="N22" s="80">
        <f t="shared" si="1"/>
        <v>0.60972222222222205</v>
      </c>
    </row>
    <row r="23" spans="6:14" ht="22.5" customHeight="1">
      <c r="F23" s="79">
        <v>22</v>
      </c>
      <c r="G23" s="68"/>
      <c r="H23" s="67"/>
      <c r="I23" s="80">
        <f t="shared" si="0"/>
        <v>0.52847222222222212</v>
      </c>
      <c r="J23" s="66"/>
      <c r="K23" s="79">
        <v>22</v>
      </c>
      <c r="L23" s="68"/>
      <c r="M23" s="67"/>
      <c r="N23" s="80">
        <f t="shared" si="1"/>
        <v>0.61111111111111094</v>
      </c>
    </row>
    <row r="24" spans="6:14" ht="22.5" customHeight="1">
      <c r="F24" s="79">
        <v>23</v>
      </c>
      <c r="G24" s="68"/>
      <c r="H24" s="67"/>
      <c r="I24" s="80">
        <f t="shared" si="0"/>
        <v>0.52986111111111101</v>
      </c>
      <c r="J24" s="66"/>
      <c r="K24" s="79">
        <v>23</v>
      </c>
      <c r="L24" s="68"/>
      <c r="M24" s="67"/>
      <c r="N24" s="80">
        <f t="shared" si="1"/>
        <v>0.61249999999999982</v>
      </c>
    </row>
    <row r="25" spans="6:14" ht="22.5" customHeight="1">
      <c r="F25" s="79">
        <v>24</v>
      </c>
      <c r="G25" s="68"/>
      <c r="H25" s="67"/>
      <c r="I25" s="80">
        <f t="shared" si="0"/>
        <v>0.53124999999999989</v>
      </c>
      <c r="J25" s="66"/>
      <c r="K25" s="79">
        <v>24</v>
      </c>
      <c r="L25" s="68"/>
      <c r="M25" s="67"/>
      <c r="N25" s="80">
        <f t="shared" si="1"/>
        <v>0.61388888888888871</v>
      </c>
    </row>
    <row r="26" spans="6:14" ht="22.5" customHeight="1">
      <c r="F26" s="79">
        <v>25</v>
      </c>
      <c r="G26" s="68"/>
      <c r="H26" s="67"/>
      <c r="I26" s="80">
        <f t="shared" si="0"/>
        <v>0.53263888888888877</v>
      </c>
      <c r="J26" s="66"/>
      <c r="K26" s="79">
        <v>25</v>
      </c>
      <c r="L26" s="68"/>
      <c r="M26" s="67"/>
      <c r="N26" s="80">
        <f t="shared" si="1"/>
        <v>0.61527777777777759</v>
      </c>
    </row>
    <row r="27" spans="6:14" ht="22.5" customHeight="1">
      <c r="F27" s="79">
        <v>26</v>
      </c>
      <c r="G27" s="68"/>
      <c r="H27" s="67"/>
      <c r="I27" s="80">
        <f t="shared" si="0"/>
        <v>0.53402777777777766</v>
      </c>
      <c r="J27" s="66"/>
      <c r="K27" s="79">
        <v>26</v>
      </c>
      <c r="L27" s="68"/>
      <c r="M27" s="67"/>
      <c r="N27" s="80">
        <f t="shared" si="1"/>
        <v>0.61666666666666647</v>
      </c>
    </row>
    <row r="28" spans="6:14" ht="22.5" customHeight="1">
      <c r="F28" s="79">
        <v>27</v>
      </c>
      <c r="G28" s="72"/>
      <c r="H28" s="69"/>
      <c r="I28" s="80">
        <f t="shared" si="0"/>
        <v>0.53541666666666654</v>
      </c>
      <c r="J28" s="66"/>
      <c r="K28" s="79">
        <v>27</v>
      </c>
      <c r="L28" s="72"/>
      <c r="M28" s="69"/>
      <c r="N28" s="80">
        <f t="shared" si="1"/>
        <v>0.61805555555555536</v>
      </c>
    </row>
    <row r="29" spans="6:14" ht="22.5" customHeight="1">
      <c r="F29" s="79">
        <v>28</v>
      </c>
      <c r="G29" s="73"/>
      <c r="H29" s="70"/>
      <c r="I29" s="80">
        <f t="shared" si="0"/>
        <v>0.53680555555555542</v>
      </c>
      <c r="J29" s="66"/>
      <c r="K29" s="79">
        <v>28</v>
      </c>
      <c r="L29" s="73"/>
      <c r="M29" s="70"/>
      <c r="N29" s="80">
        <f t="shared" si="1"/>
        <v>0.61944444444444424</v>
      </c>
    </row>
    <row r="30" spans="6:14" ht="22.5" customHeight="1">
      <c r="F30" s="79">
        <v>29</v>
      </c>
      <c r="G30" s="68"/>
      <c r="H30" s="67"/>
      <c r="I30" s="80">
        <f t="shared" si="0"/>
        <v>0.53819444444444431</v>
      </c>
      <c r="J30" s="66"/>
      <c r="K30" s="79">
        <v>29</v>
      </c>
      <c r="L30" s="68"/>
      <c r="M30" s="67"/>
      <c r="N30" s="80">
        <f t="shared" si="1"/>
        <v>0.62083333333333313</v>
      </c>
    </row>
    <row r="31" spans="6:14" ht="22.5" customHeight="1">
      <c r="F31" s="79">
        <v>30</v>
      </c>
      <c r="G31" s="68"/>
      <c r="H31" s="67"/>
      <c r="I31" s="80">
        <f t="shared" si="0"/>
        <v>0.53958333333333319</v>
      </c>
      <c r="J31" s="66"/>
      <c r="K31" s="79">
        <v>30</v>
      </c>
      <c r="L31" s="68"/>
      <c r="M31" s="67"/>
      <c r="N31" s="80">
        <f t="shared" si="1"/>
        <v>0.62222222222222201</v>
      </c>
    </row>
    <row r="32" spans="6:14" ht="22.5" customHeight="1">
      <c r="F32" s="79">
        <v>31</v>
      </c>
      <c r="G32" s="68"/>
      <c r="H32" s="67"/>
      <c r="I32" s="80">
        <f t="shared" si="0"/>
        <v>0.54097222222222208</v>
      </c>
      <c r="J32" s="66"/>
      <c r="K32" s="79">
        <v>31</v>
      </c>
      <c r="L32" s="68"/>
      <c r="M32" s="67"/>
      <c r="N32" s="80">
        <f t="shared" si="1"/>
        <v>0.62361111111111089</v>
      </c>
    </row>
    <row r="33" spans="6:14" ht="22.5" customHeight="1">
      <c r="F33" s="79">
        <v>32</v>
      </c>
      <c r="G33" s="68"/>
      <c r="H33" s="67"/>
      <c r="I33" s="80">
        <f t="shared" si="0"/>
        <v>0.54236111111111096</v>
      </c>
      <c r="J33" s="66"/>
      <c r="K33" s="79">
        <v>32</v>
      </c>
      <c r="L33" s="68"/>
      <c r="M33" s="67"/>
      <c r="N33" s="80">
        <f t="shared" si="1"/>
        <v>0.62499999999999978</v>
      </c>
    </row>
    <row r="34" spans="6:14" ht="22.5" customHeight="1">
      <c r="F34" s="79">
        <v>33</v>
      </c>
      <c r="G34" s="68"/>
      <c r="H34" s="67"/>
      <c r="I34" s="80">
        <f t="shared" si="0"/>
        <v>0.54374999999999984</v>
      </c>
      <c r="J34" s="66"/>
      <c r="K34" s="79">
        <v>33</v>
      </c>
      <c r="L34" s="68"/>
      <c r="M34" s="67"/>
      <c r="N34" s="80">
        <f t="shared" si="1"/>
        <v>0.62638888888888866</v>
      </c>
    </row>
    <row r="35" spans="6:14" ht="22.5" customHeight="1">
      <c r="F35" s="79">
        <v>34</v>
      </c>
      <c r="G35" s="68"/>
      <c r="H35" s="67"/>
      <c r="I35" s="80">
        <f t="shared" si="0"/>
        <v>0.54513888888888873</v>
      </c>
      <c r="J35" s="66"/>
      <c r="K35" s="79">
        <v>34</v>
      </c>
      <c r="L35" s="68"/>
      <c r="M35" s="67"/>
      <c r="N35" s="80">
        <f t="shared" si="1"/>
        <v>0.62777777777777755</v>
      </c>
    </row>
    <row r="36" spans="6:14" ht="22.5" customHeight="1">
      <c r="F36" s="79">
        <v>35</v>
      </c>
      <c r="G36" s="68"/>
      <c r="H36" s="67"/>
      <c r="I36" s="80">
        <f t="shared" si="0"/>
        <v>0.54652777777777761</v>
      </c>
      <c r="J36" s="66"/>
      <c r="K36" s="79">
        <v>35</v>
      </c>
      <c r="L36" s="68"/>
      <c r="M36" s="67"/>
      <c r="N36" s="80">
        <f t="shared" si="1"/>
        <v>0.62916666666666643</v>
      </c>
    </row>
    <row r="37" spans="6:14" ht="22.5" customHeight="1">
      <c r="F37" s="79">
        <v>36</v>
      </c>
      <c r="G37" s="68"/>
      <c r="H37" s="67"/>
      <c r="I37" s="80">
        <f t="shared" si="0"/>
        <v>0.5479166666666665</v>
      </c>
      <c r="J37" s="66"/>
      <c r="K37" s="79">
        <v>36</v>
      </c>
      <c r="L37" s="68"/>
      <c r="M37" s="67"/>
      <c r="N37" s="80">
        <f t="shared" si="1"/>
        <v>0.63055555555555531</v>
      </c>
    </row>
    <row r="38" spans="6:14" ht="22.5" customHeight="1">
      <c r="F38" s="79">
        <v>37</v>
      </c>
      <c r="G38" s="68"/>
      <c r="H38" s="68"/>
      <c r="I38" s="80">
        <f t="shared" si="0"/>
        <v>0.54930555555555538</v>
      </c>
      <c r="J38" s="66"/>
      <c r="K38" s="79">
        <v>37</v>
      </c>
      <c r="L38" s="68"/>
      <c r="M38" s="68"/>
      <c r="N38" s="80">
        <f t="shared" si="1"/>
        <v>0.6319444444444442</v>
      </c>
    </row>
    <row r="39" spans="6:14" ht="22.5" customHeight="1">
      <c r="F39" s="79">
        <v>38</v>
      </c>
      <c r="G39" s="68"/>
      <c r="H39" s="67"/>
      <c r="I39" s="80">
        <f t="shared" si="0"/>
        <v>0.55069444444444426</v>
      </c>
      <c r="J39" s="66"/>
      <c r="K39" s="79">
        <v>38</v>
      </c>
      <c r="L39" s="68"/>
      <c r="M39" s="67"/>
      <c r="N39" s="80">
        <f t="shared" si="1"/>
        <v>0.63333333333333308</v>
      </c>
    </row>
    <row r="40" spans="6:14" ht="22.5" customHeight="1">
      <c r="F40" s="79">
        <v>39</v>
      </c>
      <c r="G40" s="68"/>
      <c r="H40" s="67"/>
      <c r="I40" s="80">
        <f t="shared" si="0"/>
        <v>0.55208333333333315</v>
      </c>
      <c r="J40" s="66"/>
      <c r="K40" s="79">
        <v>39</v>
      </c>
      <c r="L40" s="68"/>
      <c r="M40" s="67"/>
      <c r="N40" s="80">
        <f t="shared" si="1"/>
        <v>0.63472222222222197</v>
      </c>
    </row>
    <row r="41" spans="6:14" ht="22.5" customHeight="1">
      <c r="F41" s="79">
        <v>40</v>
      </c>
      <c r="G41" s="73"/>
      <c r="H41" s="70"/>
      <c r="I41" s="80">
        <f t="shared" si="0"/>
        <v>0.55347222222222203</v>
      </c>
      <c r="J41" s="66"/>
      <c r="K41" s="79">
        <v>40</v>
      </c>
      <c r="L41" s="73"/>
      <c r="M41" s="70"/>
      <c r="N41" s="80">
        <f t="shared" si="1"/>
        <v>0.63611111111111085</v>
      </c>
    </row>
    <row r="42" spans="6:14" ht="24" customHeight="1">
      <c r="F42" s="79">
        <v>41</v>
      </c>
      <c r="G42" s="68"/>
      <c r="H42" s="67"/>
      <c r="I42" s="80">
        <f t="shared" si="0"/>
        <v>0.55486111111111092</v>
      </c>
      <c r="J42" s="66"/>
      <c r="K42" s="79">
        <v>41</v>
      </c>
      <c r="L42" s="68"/>
      <c r="M42" s="67"/>
      <c r="N42" s="80">
        <f t="shared" si="1"/>
        <v>0.63749999999999973</v>
      </c>
    </row>
    <row r="43" spans="6:14" ht="24" customHeight="1">
      <c r="F43" s="79">
        <v>42</v>
      </c>
      <c r="G43" s="68"/>
      <c r="H43" s="67"/>
      <c r="I43" s="80">
        <f t="shared" si="0"/>
        <v>0.5562499999999998</v>
      </c>
      <c r="K43" s="79">
        <v>42</v>
      </c>
      <c r="L43" s="68"/>
      <c r="M43" s="67"/>
      <c r="N43" s="80">
        <f t="shared" si="1"/>
        <v>0.63888888888888862</v>
      </c>
    </row>
    <row r="44" spans="6:14" ht="24" customHeight="1" thickBot="1">
      <c r="F44" s="155">
        <v>43</v>
      </c>
      <c r="G44" s="156"/>
      <c r="H44" s="157"/>
      <c r="I44" s="158">
        <f t="shared" si="0"/>
        <v>0.55763888888888868</v>
      </c>
      <c r="K44" s="155">
        <v>43</v>
      </c>
      <c r="L44" s="156"/>
      <c r="M44" s="157"/>
      <c r="N44" s="158">
        <f t="shared" si="1"/>
        <v>0.6402777777777775</v>
      </c>
    </row>
  </sheetData>
  <pageMargins left="0.39370078740157483" right="0.35433070866141736" top="0.23622047244094491" bottom="0.19685039370078741" header="0.31496062992125984" footer="0.31496062992125984"/>
  <pageSetup paperSize="9" scale="11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opLeftCell="A7" zoomScale="82" zoomScaleNormal="82" workbookViewId="0">
      <selection activeCell="S50" sqref="A1:S50"/>
    </sheetView>
  </sheetViews>
  <sheetFormatPr defaultRowHeight="18"/>
  <cols>
    <col min="1" max="1" width="4.85546875" style="30" customWidth="1"/>
    <col min="2" max="2" width="30.42578125" style="28" bestFit="1" customWidth="1"/>
    <col min="3" max="3" width="6.140625" style="49" bestFit="1" customWidth="1"/>
    <col min="4" max="4" width="8.140625" style="2" customWidth="1"/>
    <col min="5" max="5" width="8.28515625" style="2" customWidth="1"/>
    <col min="6" max="6" width="20.5703125" style="3" customWidth="1"/>
    <col min="7" max="7" width="21" style="3" customWidth="1"/>
    <col min="8" max="17" width="8.5703125" style="23" customWidth="1"/>
    <col min="18" max="18" width="9.42578125" style="27" customWidth="1"/>
    <col min="19" max="19" width="15.28515625" style="4" customWidth="1"/>
    <col min="20" max="20" width="9" style="28" customWidth="1"/>
    <col min="21" max="16384" width="9.140625" style="28"/>
  </cols>
  <sheetData>
    <row r="1" spans="1:21" ht="25.5">
      <c r="A1" s="204" t="s">
        <v>15</v>
      </c>
      <c r="B1" s="204"/>
      <c r="C1" s="204"/>
      <c r="D1" s="204"/>
      <c r="E1" s="204"/>
      <c r="F1" s="204"/>
      <c r="G1" s="207" t="s">
        <v>153</v>
      </c>
      <c r="H1" s="207"/>
      <c r="I1" s="207"/>
      <c r="J1" s="207"/>
      <c r="K1" s="207"/>
      <c r="L1" s="207"/>
      <c r="M1" s="207"/>
      <c r="N1" s="207"/>
      <c r="O1" s="207"/>
      <c r="P1" s="207"/>
      <c r="S1" s="51" t="s">
        <v>16</v>
      </c>
    </row>
    <row r="2" spans="1:21" ht="25.5">
      <c r="A2" s="204" t="s">
        <v>151</v>
      </c>
      <c r="B2" s="204"/>
      <c r="C2" s="204"/>
      <c r="D2" s="204"/>
      <c r="E2" s="204"/>
      <c r="F2" s="204"/>
      <c r="G2" s="92"/>
      <c r="H2" s="92"/>
      <c r="I2" s="92"/>
      <c r="J2" s="92"/>
      <c r="K2" s="92"/>
      <c r="L2" s="92"/>
      <c r="M2" s="92"/>
      <c r="N2" s="92"/>
      <c r="O2" s="92"/>
      <c r="P2" s="185"/>
      <c r="S2" s="51" t="s">
        <v>17</v>
      </c>
    </row>
    <row r="3" spans="1:21" ht="23.25">
      <c r="A3" s="204" t="s">
        <v>150</v>
      </c>
      <c r="B3" s="204"/>
      <c r="C3" s="204"/>
      <c r="D3" s="204"/>
      <c r="E3" s="204"/>
      <c r="F3" s="204"/>
      <c r="G3" s="206" t="s">
        <v>152</v>
      </c>
      <c r="H3" s="206"/>
      <c r="I3" s="206"/>
      <c r="J3" s="206"/>
      <c r="K3" s="206"/>
      <c r="L3" s="206"/>
      <c r="M3" s="206"/>
      <c r="N3" s="206"/>
      <c r="O3" s="206"/>
      <c r="P3" s="206"/>
      <c r="Q3" s="9"/>
      <c r="S3" s="17" t="s">
        <v>102</v>
      </c>
    </row>
    <row r="4" spans="1:21" ht="23.25" thickBot="1">
      <c r="A4" s="202"/>
      <c r="B4" s="202"/>
      <c r="C4" s="202"/>
      <c r="D4" s="202"/>
      <c r="E4" s="202"/>
      <c r="F4" s="203"/>
      <c r="G4" s="9"/>
      <c r="H4" s="93"/>
      <c r="I4" s="93"/>
      <c r="J4" s="29"/>
      <c r="K4" s="29"/>
      <c r="L4" s="29"/>
      <c r="M4" s="29"/>
      <c r="N4" s="29"/>
      <c r="Q4" s="9"/>
      <c r="S4" s="10"/>
    </row>
    <row r="5" spans="1:21" ht="32.25" thickBot="1">
      <c r="A5" s="216" t="s">
        <v>148</v>
      </c>
      <c r="B5" s="217" t="s">
        <v>18</v>
      </c>
      <c r="C5" s="218" t="s">
        <v>19</v>
      </c>
      <c r="D5" s="219" t="s">
        <v>20</v>
      </c>
      <c r="E5" s="220"/>
      <c r="F5" s="221" t="s">
        <v>0</v>
      </c>
      <c r="G5" s="222" t="s">
        <v>21</v>
      </c>
      <c r="H5" s="221" t="s">
        <v>2</v>
      </c>
      <c r="I5" s="221" t="s">
        <v>3</v>
      </c>
      <c r="J5" s="221" t="s">
        <v>4</v>
      </c>
      <c r="K5" s="221" t="s">
        <v>5</v>
      </c>
      <c r="L5" s="221" t="s">
        <v>6</v>
      </c>
      <c r="M5" s="221" t="s">
        <v>7</v>
      </c>
      <c r="N5" s="221" t="s">
        <v>8</v>
      </c>
      <c r="O5" s="221" t="s">
        <v>9</v>
      </c>
      <c r="P5" s="221" t="s">
        <v>10</v>
      </c>
      <c r="Q5" s="223" t="s">
        <v>37</v>
      </c>
      <c r="R5" s="224" t="s">
        <v>1</v>
      </c>
      <c r="S5" s="225" t="s">
        <v>22</v>
      </c>
      <c r="U5" s="96"/>
    </row>
    <row r="6" spans="1:21" ht="30">
      <c r="A6" s="214">
        <v>1</v>
      </c>
      <c r="B6" s="18" t="str">
        <f>'LISTA STARTOWA 09'!B9</f>
        <v>Leśniak Sebastian
Tomecki Krzysztof</v>
      </c>
      <c r="C6" s="47">
        <f>'LISTA STARTOWA 09'!C9</f>
        <v>31</v>
      </c>
      <c r="D6" s="47" t="str">
        <f>'LISTA STARTOWA 09'!D9</f>
        <v>K 4</v>
      </c>
      <c r="E6" s="44" t="str">
        <f>'LISTA STARTOWA 09'!E9</f>
        <v>&gt;2000</v>
      </c>
      <c r="F6" s="44" t="str">
        <f>'LISTA STARTOWA 09'!F9</f>
        <v>BMW 330 Ti</v>
      </c>
      <c r="G6" s="44" t="str">
        <f>'LISTA STARTOWA 09'!G9</f>
        <v>A Mielecki</v>
      </c>
      <c r="H6" s="20">
        <v>70.08</v>
      </c>
      <c r="I6" s="20">
        <v>79.98</v>
      </c>
      <c r="J6" s="20">
        <v>70.349999999999994</v>
      </c>
      <c r="K6" s="20">
        <v>69.75</v>
      </c>
      <c r="L6" s="20">
        <v>79.03</v>
      </c>
      <c r="M6" s="20">
        <v>70.06</v>
      </c>
      <c r="N6" s="20">
        <v>70.87</v>
      </c>
      <c r="O6" s="20">
        <v>80.41</v>
      </c>
      <c r="P6" s="20">
        <v>71.569999999999993</v>
      </c>
      <c r="Q6" s="20"/>
      <c r="R6" s="22">
        <f>SUM(H6:Q6)</f>
        <v>662.09999999999991</v>
      </c>
      <c r="S6" s="215">
        <v>1</v>
      </c>
    </row>
    <row r="7" spans="1:21" ht="30">
      <c r="A7" s="210">
        <v>2</v>
      </c>
      <c r="B7" s="24" t="str">
        <f>'LISTA STARTOWA 09'!B12</f>
        <v>Zieliński Mariusz
Chlebowski Ryszard</v>
      </c>
      <c r="C7" s="39">
        <f>'LISTA STARTOWA 09'!C12</f>
        <v>37</v>
      </c>
      <c r="D7" s="39" t="str">
        <f>'LISTA STARTOWA 09'!D12</f>
        <v>K 4</v>
      </c>
      <c r="E7" s="25" t="str">
        <f>'LISTA STARTOWA 09'!E12</f>
        <v>&gt;2000</v>
      </c>
      <c r="F7" s="25" t="str">
        <f>'LISTA STARTOWA 09'!F12</f>
        <v>Subaru Impreza</v>
      </c>
      <c r="G7" s="25" t="str">
        <f>'LISTA STARTOWA 09'!G12</f>
        <v>A Mielecki</v>
      </c>
      <c r="H7" s="26">
        <v>69.89</v>
      </c>
      <c r="I7" s="26">
        <v>79.39</v>
      </c>
      <c r="J7" s="26">
        <v>69.959999999999994</v>
      </c>
      <c r="K7" s="26">
        <v>73.400000000000006</v>
      </c>
      <c r="L7" s="26">
        <v>78.510000000000005</v>
      </c>
      <c r="M7" s="26">
        <v>68.56</v>
      </c>
      <c r="N7" s="26">
        <v>71.56</v>
      </c>
      <c r="O7" s="194">
        <f>79.68+5</f>
        <v>84.68</v>
      </c>
      <c r="P7" s="26">
        <v>69.61</v>
      </c>
      <c r="Q7" s="26"/>
      <c r="R7" s="35">
        <f>SUM(H7:Q7)</f>
        <v>665.56000000000006</v>
      </c>
      <c r="S7" s="211">
        <v>2</v>
      </c>
    </row>
    <row r="8" spans="1:21" ht="30">
      <c r="A8" s="210">
        <v>3</v>
      </c>
      <c r="B8" s="24" t="str">
        <f>'LISTA STARTOWA 09'!B25</f>
        <v>Pomprowicz Przemysław
Sokołowski Daniel</v>
      </c>
      <c r="C8" s="39">
        <f>'LISTA STARTOWA 09'!C25</f>
        <v>20</v>
      </c>
      <c r="D8" s="39" t="str">
        <f>'LISTA STARTOWA 09'!D25</f>
        <v>K 2</v>
      </c>
      <c r="E8" s="25" t="str">
        <f>'LISTA STARTOWA 09'!E25</f>
        <v>&lt;1600</v>
      </c>
      <c r="F8" s="25" t="str">
        <f>'LISTA STARTOWA 09'!F25</f>
        <v>Honda Civic</v>
      </c>
      <c r="G8" s="25" t="str">
        <f>'LISTA STARTOWA 09'!G25</f>
        <v>JKMiRD Jasło</v>
      </c>
      <c r="H8" s="26">
        <v>75.94</v>
      </c>
      <c r="I8" s="26">
        <v>83.61</v>
      </c>
      <c r="J8" s="26">
        <v>72.89</v>
      </c>
      <c r="K8" s="26">
        <v>73.069999999999993</v>
      </c>
      <c r="L8" s="26">
        <v>81.72</v>
      </c>
      <c r="M8" s="26">
        <v>73.05</v>
      </c>
      <c r="N8" s="26">
        <v>77.989999999999995</v>
      </c>
      <c r="O8" s="26">
        <v>81.95</v>
      </c>
      <c r="P8" s="26">
        <v>72.5</v>
      </c>
      <c r="Q8" s="26"/>
      <c r="R8" s="35">
        <f>SUM(H8:Q8)</f>
        <v>692.72</v>
      </c>
      <c r="S8" s="211">
        <v>3</v>
      </c>
    </row>
    <row r="9" spans="1:21" ht="30">
      <c r="A9" s="210">
        <v>4</v>
      </c>
      <c r="B9" s="24" t="str">
        <f>'LISTA STARTOWA 09'!B23</f>
        <v>Jabłoński Piotr
Wcześny Grzegorz</v>
      </c>
      <c r="C9" s="39">
        <f>'LISTA STARTOWA 09'!C23</f>
        <v>17</v>
      </c>
      <c r="D9" s="39" t="str">
        <f>'LISTA STARTOWA 09'!D23</f>
        <v>K 2</v>
      </c>
      <c r="E9" s="25" t="str">
        <f>'LISTA STARTOWA 09'!E23</f>
        <v>&lt;1600</v>
      </c>
      <c r="F9" s="25" t="str">
        <f>'LISTA STARTOWA 09'!F23</f>
        <v>Citroen Saxo</v>
      </c>
      <c r="G9" s="25" t="str">
        <f>'LISTA STARTOWA 09'!G23</f>
        <v>AK Stalowa Wola</v>
      </c>
      <c r="H9" s="26">
        <v>74.36</v>
      </c>
      <c r="I9" s="26">
        <v>83.92</v>
      </c>
      <c r="J9" s="26">
        <v>73.13</v>
      </c>
      <c r="K9" s="26">
        <v>74.3</v>
      </c>
      <c r="L9" s="26">
        <v>83.01</v>
      </c>
      <c r="M9" s="26">
        <v>74.63</v>
      </c>
      <c r="N9" s="26">
        <v>74.64</v>
      </c>
      <c r="O9" s="26">
        <v>82.29</v>
      </c>
      <c r="P9" s="26">
        <v>73.209999999999994</v>
      </c>
      <c r="Q9" s="26"/>
      <c r="R9" s="35">
        <f>SUM(H9:Q9)</f>
        <v>693.49</v>
      </c>
      <c r="S9" s="211">
        <v>4</v>
      </c>
    </row>
    <row r="10" spans="1:21" ht="30">
      <c r="A10" s="210">
        <v>5</v>
      </c>
      <c r="B10" s="24" t="str">
        <f>'LISTA STARTOWA 09'!B16</f>
        <v>Olszewski Grzegorz
Patla Łukasz</v>
      </c>
      <c r="C10" s="39">
        <f>'LISTA STARTOWA 09'!C16</f>
        <v>21</v>
      </c>
      <c r="D10" s="39" t="str">
        <f>'LISTA STARTOWA 09'!D16</f>
        <v>K 3</v>
      </c>
      <c r="E10" s="25" t="str">
        <f>'LISTA STARTOWA 09'!E16</f>
        <v>&lt;2000</v>
      </c>
      <c r="F10" s="25" t="str">
        <f>'LISTA STARTOWA 09'!F16</f>
        <v>Opel Astra GSI</v>
      </c>
      <c r="G10" s="25" t="str">
        <f>'LISTA STARTOWA 09'!G16</f>
        <v>AK Stomil Dębica</v>
      </c>
      <c r="H10" s="26">
        <v>75.150000000000006</v>
      </c>
      <c r="I10" s="26">
        <v>82.22</v>
      </c>
      <c r="J10" s="26">
        <v>72.75</v>
      </c>
      <c r="K10" s="194">
        <f>74.18+5</f>
        <v>79.180000000000007</v>
      </c>
      <c r="L10" s="26">
        <v>82.12</v>
      </c>
      <c r="M10" s="26">
        <v>73.819999999999993</v>
      </c>
      <c r="N10" s="26">
        <v>73.599999999999994</v>
      </c>
      <c r="O10" s="26">
        <v>82.06</v>
      </c>
      <c r="P10" s="26">
        <v>73.290000000000006</v>
      </c>
      <c r="Q10" s="26"/>
      <c r="R10" s="35">
        <f>SUM(H10:Q10)</f>
        <v>694.19</v>
      </c>
      <c r="S10" s="211">
        <v>5</v>
      </c>
    </row>
    <row r="11" spans="1:21" ht="30">
      <c r="A11" s="210">
        <v>6</v>
      </c>
      <c r="B11" s="24" t="str">
        <f>'LISTA STARTOWA 09'!B18</f>
        <v>Ważny Grzegorz
Czekaj Mateusz</v>
      </c>
      <c r="C11" s="39">
        <f>'LISTA STARTOWA 09'!C18</f>
        <v>33</v>
      </c>
      <c r="D11" s="39" t="str">
        <f>'LISTA STARTOWA 09'!D18</f>
        <v>K 3</v>
      </c>
      <c r="E11" s="25" t="str">
        <f>'LISTA STARTOWA 09'!E18</f>
        <v>&lt;2000</v>
      </c>
      <c r="F11" s="25" t="str">
        <f>'LISTA STARTOWA 09'!F18</f>
        <v>VW Golf</v>
      </c>
      <c r="G11" s="25" t="str">
        <f>'LISTA STARTOWA 09'!G18</f>
        <v>AK Rzeszowski</v>
      </c>
      <c r="H11" s="26">
        <v>73.239999999999995</v>
      </c>
      <c r="I11" s="26">
        <v>82.85</v>
      </c>
      <c r="J11" s="26">
        <v>74.239999999999995</v>
      </c>
      <c r="K11" s="26">
        <v>72.930000000000007</v>
      </c>
      <c r="L11" s="26">
        <v>81.459999999999994</v>
      </c>
      <c r="M11" s="26">
        <v>74.239999999999995</v>
      </c>
      <c r="N11" s="194">
        <f>74.62+5</f>
        <v>79.62</v>
      </c>
      <c r="O11" s="26">
        <v>82.19</v>
      </c>
      <c r="P11" s="26">
        <v>75.55</v>
      </c>
      <c r="Q11" s="26"/>
      <c r="R11" s="35">
        <f>SUM(H11:Q11)</f>
        <v>696.31999999999994</v>
      </c>
      <c r="S11" s="211">
        <v>6</v>
      </c>
    </row>
    <row r="12" spans="1:21" ht="30">
      <c r="A12" s="210">
        <v>7</v>
      </c>
      <c r="B12" s="24" t="str">
        <f>'LISTA STARTOWA 09'!B21</f>
        <v>Woś Wojciech
Sułek Adam</v>
      </c>
      <c r="C12" s="39">
        <f>'LISTA STARTOWA 09'!C21</f>
        <v>44</v>
      </c>
      <c r="D12" s="39" t="str">
        <f>'LISTA STARTOWA 09'!D21</f>
        <v>K 3</v>
      </c>
      <c r="E12" s="25" t="str">
        <f>'LISTA STARTOWA 09'!E21</f>
        <v>&lt;2000</v>
      </c>
      <c r="F12" s="25" t="str">
        <f>'LISTA STARTOWA 09'!F21</f>
        <v>Honda CRX</v>
      </c>
      <c r="G12" s="25" t="str">
        <f>'LISTA STARTOWA 09'!G21</f>
        <v>MK Team Kielce</v>
      </c>
      <c r="H12" s="194">
        <f>75.1+5+5</f>
        <v>85.1</v>
      </c>
      <c r="I12" s="26">
        <v>85.5</v>
      </c>
      <c r="J12" s="26">
        <v>70.19</v>
      </c>
      <c r="K12" s="194">
        <f>74.03+5</f>
        <v>79.03</v>
      </c>
      <c r="L12" s="26">
        <v>82.28</v>
      </c>
      <c r="M12" s="26">
        <v>70.92</v>
      </c>
      <c r="N12" s="26">
        <v>75.84</v>
      </c>
      <c r="O12" s="26">
        <v>82.67</v>
      </c>
      <c r="P12" s="26">
        <v>70.900000000000006</v>
      </c>
      <c r="Q12" s="26"/>
      <c r="R12" s="35">
        <f>SUM(H12:Q12)</f>
        <v>702.43</v>
      </c>
      <c r="S12" s="211">
        <v>7</v>
      </c>
    </row>
    <row r="13" spans="1:21" ht="30">
      <c r="A13" s="210">
        <v>8</v>
      </c>
      <c r="B13" s="24" t="str">
        <f>'LISTA STARTOWA 09'!B26</f>
        <v>Fudali Hubert
Rodzeń Krystian</v>
      </c>
      <c r="C13" s="39">
        <f>'LISTA STARTOWA 09'!C26</f>
        <v>23</v>
      </c>
      <c r="D13" s="39" t="str">
        <f>'LISTA STARTOWA 09'!D26</f>
        <v>K 2</v>
      </c>
      <c r="E13" s="25" t="str">
        <f>'LISTA STARTOWA 09'!E26</f>
        <v>&lt;1600</v>
      </c>
      <c r="F13" s="25" t="str">
        <f>'LISTA STARTOWA 09'!F26</f>
        <v>Opel Corsa</v>
      </c>
      <c r="G13" s="25" t="str">
        <f>'LISTA STARTOWA 09'!G26</f>
        <v>AK Rzeszowski</v>
      </c>
      <c r="H13" s="26">
        <v>73.88</v>
      </c>
      <c r="I13" s="26">
        <v>84.05</v>
      </c>
      <c r="J13" s="26">
        <v>73.45</v>
      </c>
      <c r="K13" s="26">
        <v>82.43</v>
      </c>
      <c r="L13" s="26">
        <v>82.99</v>
      </c>
      <c r="M13" s="26">
        <v>74.61</v>
      </c>
      <c r="N13" s="194">
        <f>75.03+5</f>
        <v>80.03</v>
      </c>
      <c r="O13" s="26">
        <v>83.71</v>
      </c>
      <c r="P13" s="26">
        <v>73.900000000000006</v>
      </c>
      <c r="Q13" s="26"/>
      <c r="R13" s="35">
        <f>SUM(H13:Q13)</f>
        <v>709.05000000000007</v>
      </c>
      <c r="S13" s="211">
        <v>8</v>
      </c>
    </row>
    <row r="14" spans="1:21" ht="30">
      <c r="A14" s="210">
        <v>9</v>
      </c>
      <c r="B14" s="24" t="str">
        <f>'LISTA STARTOWA 09'!B24</f>
        <v>Pawlik Grzegorz
Sykut Konrad</v>
      </c>
      <c r="C14" s="39">
        <f>'LISTA STARTOWA 09'!C24</f>
        <v>18</v>
      </c>
      <c r="D14" s="39" t="str">
        <f>'LISTA STARTOWA 09'!D24</f>
        <v>K 2</v>
      </c>
      <c r="E14" s="25" t="str">
        <f>'LISTA STARTOWA 09'!E24</f>
        <v>&lt;1600</v>
      </c>
      <c r="F14" s="25" t="str">
        <f>'LISTA STARTOWA 09'!F24</f>
        <v>Citroen Saxo</v>
      </c>
      <c r="G14" s="25" t="str">
        <f>'LISTA STARTOWA 09'!G24</f>
        <v>niezrzeszony</v>
      </c>
      <c r="H14" s="194">
        <f>74.3+5</f>
        <v>79.3</v>
      </c>
      <c r="I14" s="26">
        <v>86.64</v>
      </c>
      <c r="J14" s="26">
        <v>73.44</v>
      </c>
      <c r="K14" s="26">
        <v>77.28</v>
      </c>
      <c r="L14" s="26">
        <v>82.86</v>
      </c>
      <c r="M14" s="26">
        <v>74.040000000000006</v>
      </c>
      <c r="N14" s="26">
        <v>75.88</v>
      </c>
      <c r="O14" s="26">
        <v>84.2</v>
      </c>
      <c r="P14" s="194">
        <f>73.23+5</f>
        <v>78.23</v>
      </c>
      <c r="Q14" s="26"/>
      <c r="R14" s="35">
        <f>SUM(H14:Q14)</f>
        <v>711.87000000000012</v>
      </c>
      <c r="S14" s="211">
        <v>9</v>
      </c>
    </row>
    <row r="15" spans="1:21" ht="30">
      <c r="A15" s="210">
        <v>10</v>
      </c>
      <c r="B15" s="24" t="str">
        <f>'LISTA STARTOWA 09'!B20</f>
        <v>Kędzior Wojciech
Trznadel Mateusz</v>
      </c>
      <c r="C15" s="39">
        <f>'LISTA STARTOWA 09'!C20</f>
        <v>39</v>
      </c>
      <c r="D15" s="39" t="str">
        <f>'LISTA STARTOWA 09'!D20</f>
        <v>K 3</v>
      </c>
      <c r="E15" s="25" t="str">
        <f>'LISTA STARTOWA 09'!E20</f>
        <v>&lt;2000</v>
      </c>
      <c r="F15" s="25" t="str">
        <f>'LISTA STARTOWA 09'!F20</f>
        <v>Renault Clio</v>
      </c>
      <c r="G15" s="25" t="str">
        <f>'LISTA STARTOWA 09'!G20</f>
        <v>AK Stomil Dębica</v>
      </c>
      <c r="H15" s="26">
        <v>75.599999999999994</v>
      </c>
      <c r="I15" s="26">
        <v>85.05</v>
      </c>
      <c r="J15" s="26">
        <v>75.8</v>
      </c>
      <c r="K15" s="26">
        <v>75.34</v>
      </c>
      <c r="L15" s="26">
        <v>85.19</v>
      </c>
      <c r="M15" s="26">
        <v>76.27</v>
      </c>
      <c r="N15" s="194">
        <f>77.47+5</f>
        <v>82.47</v>
      </c>
      <c r="O15" s="26">
        <v>83.96</v>
      </c>
      <c r="P15" s="26">
        <v>76.849999999999994</v>
      </c>
      <c r="Q15" s="26"/>
      <c r="R15" s="35">
        <f>SUM(H15:Q15)</f>
        <v>716.53</v>
      </c>
      <c r="S15" s="211">
        <v>10</v>
      </c>
    </row>
    <row r="16" spans="1:21" ht="30">
      <c r="A16" s="210">
        <v>11</v>
      </c>
      <c r="B16" s="24" t="str">
        <f>'LISTA STARTOWA 09'!B10</f>
        <v>Piejko Wojciech
Mroszczyk Adrian</v>
      </c>
      <c r="C16" s="39">
        <f>'LISTA STARTOWA 09'!C10</f>
        <v>32</v>
      </c>
      <c r="D16" s="39" t="str">
        <f>'LISTA STARTOWA 09'!D10</f>
        <v>K 4</v>
      </c>
      <c r="E16" s="25" t="str">
        <f>'LISTA STARTOWA 09'!E10</f>
        <v>&gt;2000</v>
      </c>
      <c r="F16" s="25" t="str">
        <f>'LISTA STARTOWA 09'!F10</f>
        <v>Subaru Impreza</v>
      </c>
      <c r="G16" s="25" t="str">
        <f>'LISTA STARTOWA 09'!G10</f>
        <v>AK Rzeszowski</v>
      </c>
      <c r="H16" s="26">
        <v>76.510000000000005</v>
      </c>
      <c r="I16" s="26">
        <v>85.24</v>
      </c>
      <c r="J16" s="26">
        <v>72.91</v>
      </c>
      <c r="K16" s="26">
        <v>77.790000000000006</v>
      </c>
      <c r="L16" s="26">
        <v>84.86</v>
      </c>
      <c r="M16" s="26">
        <v>73.52</v>
      </c>
      <c r="N16" s="194">
        <f>78.43+5</f>
        <v>83.43</v>
      </c>
      <c r="O16" s="26">
        <v>87.74</v>
      </c>
      <c r="P16" s="26">
        <v>75.19</v>
      </c>
      <c r="Q16" s="26"/>
      <c r="R16" s="35">
        <f>SUM(H16:Q16)</f>
        <v>717.19</v>
      </c>
      <c r="S16" s="211">
        <v>11</v>
      </c>
    </row>
    <row r="17" spans="1:20" ht="30">
      <c r="A17" s="210">
        <v>12</v>
      </c>
      <c r="B17" s="24" t="str">
        <f>'LISTA STARTOWA 09'!B37</f>
        <v>Niemiec Jerzy
Saganowski Tomasz</v>
      </c>
      <c r="C17" s="39">
        <f>'LISTA STARTOWA 09'!C37</f>
        <v>3</v>
      </c>
      <c r="D17" s="39" t="str">
        <f>'LISTA STARTOWA 09'!D37</f>
        <v>K Fiat</v>
      </c>
      <c r="E17" s="25" t="str">
        <f>'LISTA STARTOWA 09'!E37</f>
        <v>FIAT</v>
      </c>
      <c r="F17" s="25" t="str">
        <f>'LISTA STARTOWA 09'!F37</f>
        <v>FF S.C.</v>
      </c>
      <c r="G17" s="25" t="str">
        <f>'LISTA STARTOWA 09'!G37</f>
        <v>AK Stalowa Wola</v>
      </c>
      <c r="H17" s="26">
        <v>77.38</v>
      </c>
      <c r="I17" s="26">
        <v>85.93</v>
      </c>
      <c r="J17" s="26">
        <v>76.650000000000006</v>
      </c>
      <c r="K17" s="26">
        <v>77.02</v>
      </c>
      <c r="L17" s="26">
        <v>86.47</v>
      </c>
      <c r="M17" s="26">
        <v>76.540000000000006</v>
      </c>
      <c r="N17" s="26">
        <v>78.31</v>
      </c>
      <c r="O17" s="26">
        <v>87.21</v>
      </c>
      <c r="P17" s="26">
        <v>77.53</v>
      </c>
      <c r="Q17" s="26"/>
      <c r="R17" s="35">
        <f>SUM(H17:Q17)</f>
        <v>723.04000000000008</v>
      </c>
      <c r="S17" s="211">
        <v>12</v>
      </c>
      <c r="T17" s="16"/>
    </row>
    <row r="18" spans="1:20" ht="30">
      <c r="A18" s="210">
        <v>13</v>
      </c>
      <c r="B18" s="24" t="str">
        <f>'LISTA STARTOWA 09'!B15</f>
        <v>Biały Paweł
Biały Tomasz</v>
      </c>
      <c r="C18" s="39">
        <f>'LISTA STARTOWA 09'!C15</f>
        <v>7</v>
      </c>
      <c r="D18" s="39" t="str">
        <f>'LISTA STARTOWA 09'!D15</f>
        <v>K 3</v>
      </c>
      <c r="E18" s="25" t="str">
        <f>'LISTA STARTOWA 09'!E15</f>
        <v>&lt;2000</v>
      </c>
      <c r="F18" s="25" t="str">
        <f>'LISTA STARTOWA 09'!F15</f>
        <v>BMW 318 TI</v>
      </c>
      <c r="G18" s="25" t="str">
        <f>'LISTA STARTOWA 09'!G15</f>
        <v>AK Rzeszowski</v>
      </c>
      <c r="H18" s="26">
        <v>77.010000000000005</v>
      </c>
      <c r="I18" s="26">
        <v>89.26</v>
      </c>
      <c r="J18" s="26">
        <v>78.25</v>
      </c>
      <c r="K18" s="26">
        <v>76.7</v>
      </c>
      <c r="L18" s="26">
        <v>88.27</v>
      </c>
      <c r="M18" s="26">
        <v>77.73</v>
      </c>
      <c r="N18" s="26">
        <v>80.22</v>
      </c>
      <c r="O18" s="26">
        <v>88.21</v>
      </c>
      <c r="P18" s="26">
        <v>78.790000000000006</v>
      </c>
      <c r="Q18" s="26"/>
      <c r="R18" s="35">
        <f>SUM(H18:Q18)</f>
        <v>734.44</v>
      </c>
      <c r="S18" s="211">
        <v>13</v>
      </c>
    </row>
    <row r="19" spans="1:20" ht="30">
      <c r="A19" s="210">
        <v>14</v>
      </c>
      <c r="B19" s="24" t="str">
        <f>'LISTA STARTOWA 09'!B17</f>
        <v>Krasowski Łukasz
Bukała Mateusz</v>
      </c>
      <c r="C19" s="39">
        <f>'LISTA STARTOWA 09'!C17</f>
        <v>27</v>
      </c>
      <c r="D19" s="39" t="str">
        <f>'LISTA STARTOWA 09'!D17</f>
        <v>K 3</v>
      </c>
      <c r="E19" s="25" t="str">
        <f>'LISTA STARTOWA 09'!E17</f>
        <v>&lt;2000</v>
      </c>
      <c r="F19" s="25" t="str">
        <f>'LISTA STARTOWA 09'!F17</f>
        <v>Renault Clio Sport</v>
      </c>
      <c r="G19" s="25" t="str">
        <f>'LISTA STARTOWA 09'!G17</f>
        <v>AMK Małopolski</v>
      </c>
      <c r="H19" s="194">
        <f>77.39+5</f>
        <v>82.39</v>
      </c>
      <c r="I19" s="26">
        <v>92.49</v>
      </c>
      <c r="J19" s="26">
        <v>76.86</v>
      </c>
      <c r="K19" s="26">
        <v>77.22</v>
      </c>
      <c r="L19" s="26">
        <v>89.6</v>
      </c>
      <c r="M19" s="26">
        <v>74.760000000000005</v>
      </c>
      <c r="N19" s="194">
        <f>77.09+5</f>
        <v>82.09</v>
      </c>
      <c r="O19" s="26">
        <v>85.29</v>
      </c>
      <c r="P19" s="26">
        <v>73.989999999999995</v>
      </c>
      <c r="Q19" s="26"/>
      <c r="R19" s="35">
        <f>SUM(H19:Q19)</f>
        <v>734.69</v>
      </c>
      <c r="S19" s="211">
        <v>14</v>
      </c>
    </row>
    <row r="20" spans="1:20" ht="30">
      <c r="A20" s="210">
        <v>15</v>
      </c>
      <c r="B20" s="24" t="str">
        <f>'LISTA STARTOWA 09'!B40</f>
        <v>Forkiewicz Adam
Sulisz Jan</v>
      </c>
      <c r="C20" s="39">
        <f>'LISTA STARTOWA 09'!C40</f>
        <v>10</v>
      </c>
      <c r="D20" s="39" t="str">
        <f>'LISTA STARTOWA 09'!D40</f>
        <v>K Fiat</v>
      </c>
      <c r="E20" s="25" t="str">
        <f>'LISTA STARTOWA 09'!E40</f>
        <v>FIAT</v>
      </c>
      <c r="F20" s="25" t="str">
        <f>'LISTA STARTOWA 09'!F40</f>
        <v>FFS.C.</v>
      </c>
      <c r="G20" s="25" t="str">
        <f>'LISTA STARTOWA 09'!G40</f>
        <v>AK Stomil Dębica</v>
      </c>
      <c r="H20" s="26">
        <v>77.45</v>
      </c>
      <c r="I20" s="26">
        <v>84.47</v>
      </c>
      <c r="J20" s="194">
        <f>76.7+5</f>
        <v>81.7</v>
      </c>
      <c r="K20" s="26">
        <v>77.680000000000007</v>
      </c>
      <c r="L20" s="26">
        <v>87.65</v>
      </c>
      <c r="M20" s="26">
        <v>78.400000000000006</v>
      </c>
      <c r="N20" s="194">
        <f>79.05+5</f>
        <v>84.05</v>
      </c>
      <c r="O20" s="26">
        <v>88.37</v>
      </c>
      <c r="P20" s="26">
        <v>78.59</v>
      </c>
      <c r="Q20" s="26"/>
      <c r="R20" s="35">
        <f>SUM(H20:Q20)</f>
        <v>738.36</v>
      </c>
      <c r="S20" s="211">
        <v>15</v>
      </c>
      <c r="T20" s="16"/>
    </row>
    <row r="21" spans="1:20" ht="30">
      <c r="A21" s="210">
        <v>16</v>
      </c>
      <c r="B21" s="24" t="str">
        <f>'LISTA STARTOWA 09'!B35</f>
        <v>Wronkowicz Jacek
Orliński Wiesław</v>
      </c>
      <c r="C21" s="39">
        <f>'LISTA STARTOWA 09'!C35</f>
        <v>19</v>
      </c>
      <c r="D21" s="39" t="str">
        <f>'LISTA STARTOWA 09'!D35</f>
        <v>K 1</v>
      </c>
      <c r="E21" s="25" t="str">
        <f>'LISTA STARTOWA 09'!E35</f>
        <v xml:space="preserve"> &lt;1400  </v>
      </c>
      <c r="F21" s="25" t="str">
        <f>'LISTA STARTOWA 09'!F35</f>
        <v>Peugeot 106</v>
      </c>
      <c r="G21" s="25" t="str">
        <f>'LISTA STARTOWA 09'!G35</f>
        <v>AK Biecki</v>
      </c>
      <c r="H21" s="194">
        <f>78.16+5</f>
        <v>83.16</v>
      </c>
      <c r="I21" s="26">
        <v>86.83</v>
      </c>
      <c r="J21" s="26">
        <v>78.180000000000007</v>
      </c>
      <c r="K21" s="26">
        <v>80.14</v>
      </c>
      <c r="L21" s="26">
        <v>87.92</v>
      </c>
      <c r="M21" s="26">
        <v>79.56</v>
      </c>
      <c r="N21" s="26">
        <v>78.89</v>
      </c>
      <c r="O21" s="26">
        <v>86.48</v>
      </c>
      <c r="P21" s="26">
        <v>77.260000000000005</v>
      </c>
      <c r="Q21" s="26"/>
      <c r="R21" s="35">
        <f>SUM(H21:Q21)</f>
        <v>738.42000000000007</v>
      </c>
      <c r="S21" s="211">
        <v>16</v>
      </c>
      <c r="T21" s="16"/>
    </row>
    <row r="22" spans="1:20" ht="30">
      <c r="A22" s="210">
        <v>17</v>
      </c>
      <c r="B22" s="24" t="str">
        <f>'LISTA STARTOWA 09'!B22</f>
        <v>Wiśniowski Bogdan
Wiśniowski Mateusz</v>
      </c>
      <c r="C22" s="39">
        <f>'LISTA STARTOWA 09'!C22</f>
        <v>6</v>
      </c>
      <c r="D22" s="39" t="str">
        <f>'LISTA STARTOWA 09'!D22</f>
        <v>K 3</v>
      </c>
      <c r="E22" s="25" t="str">
        <f>'LISTA STARTOWA 09'!E22</f>
        <v xml:space="preserve">&lt;2000 </v>
      </c>
      <c r="F22" s="25" t="str">
        <f>'LISTA STARTOWA 09'!F22</f>
        <v>Renault Clio</v>
      </c>
      <c r="G22" s="25" t="str">
        <f>'LISTA STARTOWA 09'!G22</f>
        <v xml:space="preserve">AK Rzeszowski </v>
      </c>
      <c r="H22" s="26">
        <v>79.709999999999994</v>
      </c>
      <c r="I22" s="26">
        <v>89.2</v>
      </c>
      <c r="J22" s="26">
        <v>77.7</v>
      </c>
      <c r="K22" s="26">
        <v>80.010000000000005</v>
      </c>
      <c r="L22" s="26">
        <v>89.52</v>
      </c>
      <c r="M22" s="26">
        <v>78.260000000000005</v>
      </c>
      <c r="N22" s="26">
        <v>80.209999999999994</v>
      </c>
      <c r="O22" s="26">
        <v>89.49</v>
      </c>
      <c r="P22" s="26">
        <v>78.819999999999993</v>
      </c>
      <c r="Q22" s="26"/>
      <c r="R22" s="35">
        <f>SUM(H22:Q22)</f>
        <v>742.92000000000007</v>
      </c>
      <c r="S22" s="211">
        <v>17</v>
      </c>
      <c r="T22" s="16"/>
    </row>
    <row r="23" spans="1:20" ht="30">
      <c r="A23" s="210">
        <v>18</v>
      </c>
      <c r="B23" s="24" t="str">
        <f>'LISTA STARTOWA 09'!B31</f>
        <v>Skroban Marcin
Wagner Jakub</v>
      </c>
      <c r="C23" s="39">
        <f>'LISTA STARTOWA 09'!C31</f>
        <v>5</v>
      </c>
      <c r="D23" s="39" t="str">
        <f>'LISTA STARTOWA 09'!D31</f>
        <v>K 1</v>
      </c>
      <c r="E23" s="25" t="str">
        <f>'LISTA STARTOWA 09'!E31</f>
        <v>&lt;1400</v>
      </c>
      <c r="F23" s="25" t="str">
        <f>'LISTA STARTOWA 09'!F31</f>
        <v>Peugeot 106</v>
      </c>
      <c r="G23" s="25" t="str">
        <f>'LISTA STARTOWA 09'!G31</f>
        <v>AK Biłgoraj</v>
      </c>
      <c r="H23" s="26">
        <v>80.12</v>
      </c>
      <c r="I23" s="26">
        <v>89.2</v>
      </c>
      <c r="J23" s="26">
        <v>78.16</v>
      </c>
      <c r="K23" s="26">
        <v>79.38</v>
      </c>
      <c r="L23" s="26">
        <v>87.06</v>
      </c>
      <c r="M23" s="26">
        <v>79.27</v>
      </c>
      <c r="N23" s="26">
        <v>81.3</v>
      </c>
      <c r="O23" s="26">
        <v>89.78</v>
      </c>
      <c r="P23" s="26">
        <v>79.95</v>
      </c>
      <c r="Q23" s="26"/>
      <c r="R23" s="35">
        <f>SUM(H23:Q23)</f>
        <v>744.22</v>
      </c>
      <c r="S23" s="211">
        <v>18</v>
      </c>
      <c r="T23" s="83"/>
    </row>
    <row r="24" spans="1:20" ht="30">
      <c r="A24" s="210">
        <v>19</v>
      </c>
      <c r="B24" s="24" t="str">
        <f>'LISTA STARTOWA 09'!B30</f>
        <v>Pięta Jan
Mędrygał Sławomir</v>
      </c>
      <c r="C24" s="39">
        <f>'LISTA STARTOWA 09'!C30</f>
        <v>8</v>
      </c>
      <c r="D24" s="39" t="str">
        <f>'LISTA STARTOWA 09'!D30</f>
        <v>K 2</v>
      </c>
      <c r="E24" s="25" t="str">
        <f>'LISTA STARTOWA 09'!E30</f>
        <v>&lt;1600</v>
      </c>
      <c r="F24" s="25" t="str">
        <f>'LISTA STARTOWA 09'!F30</f>
        <v>FSO Polonez</v>
      </c>
      <c r="G24" s="25" t="str">
        <f>'LISTA STARTOWA 09'!G30</f>
        <v>niezrzeszony</v>
      </c>
      <c r="H24" s="26">
        <v>80.36</v>
      </c>
      <c r="I24" s="26">
        <v>90.73</v>
      </c>
      <c r="J24" s="26">
        <v>79.33</v>
      </c>
      <c r="K24" s="194">
        <f>80.4+5</f>
        <v>85.4</v>
      </c>
      <c r="L24" s="26">
        <v>87.68</v>
      </c>
      <c r="M24" s="26">
        <v>79.430000000000007</v>
      </c>
      <c r="N24" s="26">
        <v>77.45</v>
      </c>
      <c r="O24" s="26">
        <v>88</v>
      </c>
      <c r="P24" s="26">
        <v>81.05</v>
      </c>
      <c r="Q24" s="26"/>
      <c r="R24" s="35">
        <f>SUM(H24:Q24)</f>
        <v>749.43000000000006</v>
      </c>
      <c r="S24" s="211">
        <v>19</v>
      </c>
      <c r="T24" s="16"/>
    </row>
    <row r="25" spans="1:20" ht="30">
      <c r="A25" s="210">
        <v>20</v>
      </c>
      <c r="B25" s="24" t="str">
        <f>'LISTA STARTOWA 09'!B44</f>
        <v>Solarz Karol
Dubiel Bartosz</v>
      </c>
      <c r="C25" s="39">
        <f>'LISTA STARTOWA 09'!C44</f>
        <v>25</v>
      </c>
      <c r="D25" s="39" t="str">
        <f>'LISTA STARTOWA 09'!D44</f>
        <v>K Fiat</v>
      </c>
      <c r="E25" s="25" t="str">
        <f>'LISTA STARTOWA 09'!E44</f>
        <v>FIAT</v>
      </c>
      <c r="F25" s="25" t="str">
        <f>'LISTA STARTOWA 09'!F44</f>
        <v>Fiat S.C.</v>
      </c>
      <c r="G25" s="25" t="str">
        <f>'LISTA STARTOWA 09'!G44</f>
        <v>AK Kielecki</v>
      </c>
      <c r="H25" s="26">
        <v>83.93</v>
      </c>
      <c r="I25" s="26">
        <v>90.43</v>
      </c>
      <c r="J25" s="26">
        <v>79.8</v>
      </c>
      <c r="K25" s="26">
        <v>79.73</v>
      </c>
      <c r="L25" s="26">
        <v>89.03</v>
      </c>
      <c r="M25" s="26">
        <v>79.2</v>
      </c>
      <c r="N25" s="26">
        <v>80.900000000000006</v>
      </c>
      <c r="O25" s="26">
        <v>88.05</v>
      </c>
      <c r="P25" s="26">
        <v>78.87</v>
      </c>
      <c r="Q25" s="26"/>
      <c r="R25" s="35">
        <f>SUM(H25:Q25)</f>
        <v>749.94</v>
      </c>
      <c r="S25" s="211">
        <v>20</v>
      </c>
    </row>
    <row r="26" spans="1:20" ht="30">
      <c r="A26" s="210">
        <v>21</v>
      </c>
      <c r="B26" s="24" t="str">
        <f>'LISTA STARTOWA 09'!B34</f>
        <v>Pypeć Przemysław
Chrabąszcz Mateusz</v>
      </c>
      <c r="C26" s="39">
        <f>'LISTA STARTOWA 09'!C34</f>
        <v>28</v>
      </c>
      <c r="D26" s="39" t="str">
        <f>'LISTA STARTOWA 09'!D34</f>
        <v>K 1</v>
      </c>
      <c r="E26" s="25" t="str">
        <f>'LISTA STARTOWA 09'!E34</f>
        <v>&lt;1400</v>
      </c>
      <c r="F26" s="25" t="str">
        <f>'LISTA STARTOWA 09'!F34</f>
        <v>Suzuki Gti</v>
      </c>
      <c r="G26" s="25" t="str">
        <f>'LISTA STARTOWA 09'!G34</f>
        <v>AK Kielecki</v>
      </c>
      <c r="H26" s="194">
        <f>79.21+5</f>
        <v>84.21</v>
      </c>
      <c r="I26" s="26">
        <v>87.08</v>
      </c>
      <c r="J26" s="26">
        <v>77.19</v>
      </c>
      <c r="K26" s="194">
        <f>78.92+5</f>
        <v>83.92</v>
      </c>
      <c r="L26" s="194">
        <f>85.23+5</f>
        <v>90.23</v>
      </c>
      <c r="M26" s="26">
        <v>77.569999999999993</v>
      </c>
      <c r="N26" s="194">
        <f>82.27+5</f>
        <v>87.27</v>
      </c>
      <c r="O26" s="26">
        <v>88.7</v>
      </c>
      <c r="P26" s="26">
        <v>77.760000000000005</v>
      </c>
      <c r="Q26" s="26"/>
      <c r="R26" s="35">
        <f>SUM(H26:Q26)</f>
        <v>753.93000000000006</v>
      </c>
      <c r="S26" s="211">
        <v>21</v>
      </c>
    </row>
    <row r="27" spans="1:20" ht="30">
      <c r="A27" s="210">
        <v>22</v>
      </c>
      <c r="B27" s="24" t="str">
        <f>'LISTA STARTOWA 09'!B33</f>
        <v>Wiszyński Arkadiusz
Bodniak Mateusz</v>
      </c>
      <c r="C27" s="39">
        <f>'LISTA STARTOWA 09'!C33</f>
        <v>14</v>
      </c>
      <c r="D27" s="39" t="str">
        <f>'LISTA STARTOWA 09'!D33</f>
        <v>K 1</v>
      </c>
      <c r="E27" s="25" t="str">
        <f>'LISTA STARTOWA 09'!E33</f>
        <v>&lt;1400</v>
      </c>
      <c r="F27" s="25" t="str">
        <f>'LISTA STARTOWA 09'!F33</f>
        <v>Peugeot 106</v>
      </c>
      <c r="G27" s="25" t="str">
        <f>'LISTA STARTOWA 09'!G33</f>
        <v>AK Biecki</v>
      </c>
      <c r="H27" s="26">
        <v>82.25</v>
      </c>
      <c r="I27" s="26">
        <v>91.31</v>
      </c>
      <c r="J27" s="26">
        <v>78.260000000000005</v>
      </c>
      <c r="K27" s="26">
        <v>81.349999999999994</v>
      </c>
      <c r="L27" s="26">
        <v>90.91</v>
      </c>
      <c r="M27" s="26">
        <v>79.349999999999994</v>
      </c>
      <c r="N27" s="26">
        <v>80.36</v>
      </c>
      <c r="O27" s="26">
        <v>91.64</v>
      </c>
      <c r="P27" s="26">
        <v>79</v>
      </c>
      <c r="Q27" s="26"/>
      <c r="R27" s="35">
        <f>SUM(H27:Q27)</f>
        <v>754.43</v>
      </c>
      <c r="S27" s="211">
        <v>22</v>
      </c>
    </row>
    <row r="28" spans="1:20" ht="30">
      <c r="A28" s="210">
        <v>23</v>
      </c>
      <c r="B28" s="24" t="str">
        <f>'LISTA STARTOWA 09'!B47</f>
        <v>Przywara Dominik
Piekarska Aleksandra</v>
      </c>
      <c r="C28" s="39">
        <f>'LISTA STARTOWA 09'!C47</f>
        <v>36</v>
      </c>
      <c r="D28" s="39" t="str">
        <f>'LISTA STARTOWA 09'!D47</f>
        <v>K Fiat</v>
      </c>
      <c r="E28" s="25" t="str">
        <f>'LISTA STARTOWA 09'!E47</f>
        <v>FIAT</v>
      </c>
      <c r="F28" s="25" t="str">
        <f>'LISTA STARTOWA 09'!F47</f>
        <v>Fiat S.C.</v>
      </c>
      <c r="G28" s="25" t="str">
        <f>'LISTA STARTOWA 09'!G47</f>
        <v>AK Biecki</v>
      </c>
      <c r="H28" s="26">
        <v>79.650000000000006</v>
      </c>
      <c r="I28" s="26">
        <v>89.28</v>
      </c>
      <c r="J28" s="26">
        <v>78.819999999999993</v>
      </c>
      <c r="K28" s="26">
        <v>81.58</v>
      </c>
      <c r="L28" s="26">
        <v>88.86</v>
      </c>
      <c r="M28" s="26">
        <v>79.22</v>
      </c>
      <c r="N28" s="26">
        <v>80.53</v>
      </c>
      <c r="O28" s="26">
        <v>88.62</v>
      </c>
      <c r="P28" s="26">
        <v>78.75</v>
      </c>
      <c r="Q28" s="26">
        <v>10</v>
      </c>
      <c r="R28" s="35">
        <f>SUM(H28:Q28)</f>
        <v>755.31</v>
      </c>
      <c r="S28" s="211">
        <v>23</v>
      </c>
    </row>
    <row r="29" spans="1:20" ht="30">
      <c r="A29" s="210">
        <v>24</v>
      </c>
      <c r="B29" s="24" t="str">
        <f>'LISTA STARTOWA 09'!B38</f>
        <v>Michałek Andrzej
Michałek Magdalena</v>
      </c>
      <c r="C29" s="39">
        <f>'LISTA STARTOWA 09'!C38</f>
        <v>4</v>
      </c>
      <c r="D29" s="39" t="str">
        <f>'LISTA STARTOWA 09'!D38</f>
        <v>K Fiat</v>
      </c>
      <c r="E29" s="25" t="str">
        <f>'LISTA STARTOWA 09'!E38</f>
        <v>FIAT</v>
      </c>
      <c r="F29" s="25" t="str">
        <f>'LISTA STARTOWA 09'!F38</f>
        <v>FF S.C.</v>
      </c>
      <c r="G29" s="25" t="str">
        <f>'LISTA STARTOWA 09'!G38</f>
        <v>AK Stalowa Wola</v>
      </c>
      <c r="H29" s="26">
        <v>82.37</v>
      </c>
      <c r="I29" s="26">
        <v>91.7</v>
      </c>
      <c r="J29" s="26">
        <v>80.37</v>
      </c>
      <c r="K29" s="26">
        <v>81.05</v>
      </c>
      <c r="L29" s="26">
        <v>90.7</v>
      </c>
      <c r="M29" s="26">
        <v>81.2</v>
      </c>
      <c r="N29" s="26">
        <v>82.21</v>
      </c>
      <c r="O29" s="26">
        <v>91.07</v>
      </c>
      <c r="P29" s="26">
        <v>81.64</v>
      </c>
      <c r="Q29" s="26"/>
      <c r="R29" s="35">
        <f>SUM(H29:Q29)</f>
        <v>762.31000000000006</v>
      </c>
      <c r="S29" s="211">
        <v>24</v>
      </c>
      <c r="T29" s="82"/>
    </row>
    <row r="30" spans="1:20" ht="30">
      <c r="A30" s="210">
        <v>25</v>
      </c>
      <c r="B30" s="24" t="str">
        <f>'LISTA STARTOWA 09'!B39</f>
        <v>Dunaj Ryszard
Dunaj Kinga</v>
      </c>
      <c r="C30" s="39">
        <f>'LISTA STARTOWA 09'!C39</f>
        <v>9</v>
      </c>
      <c r="D30" s="39" t="str">
        <f>'LISTA STARTOWA 09'!D39</f>
        <v>K Fiat</v>
      </c>
      <c r="E30" s="25" t="str">
        <f>'LISTA STARTOWA 09'!E39</f>
        <v>FIAT</v>
      </c>
      <c r="F30" s="25" t="str">
        <f>'LISTA STARTOWA 09'!F39</f>
        <v>FFC.C.</v>
      </c>
      <c r="G30" s="25" t="str">
        <f>'LISTA STARTOWA 09'!G39</f>
        <v>AMK Małopolski</v>
      </c>
      <c r="H30" s="26">
        <v>82.75</v>
      </c>
      <c r="I30" s="26">
        <v>90.75</v>
      </c>
      <c r="J30" s="26">
        <v>79.930000000000007</v>
      </c>
      <c r="K30" s="26">
        <f>82.67</f>
        <v>82.67</v>
      </c>
      <c r="L30" s="26">
        <v>90.39</v>
      </c>
      <c r="M30" s="26">
        <v>80.239999999999995</v>
      </c>
      <c r="N30" s="26">
        <v>83.06</v>
      </c>
      <c r="O30" s="26">
        <v>92.8</v>
      </c>
      <c r="P30" s="26">
        <v>80.72</v>
      </c>
      <c r="Q30" s="26"/>
      <c r="R30" s="35">
        <f>SUM(H30:Q30)</f>
        <v>763.31</v>
      </c>
      <c r="S30" s="211">
        <v>25</v>
      </c>
    </row>
    <row r="31" spans="1:20" ht="30">
      <c r="A31" s="210">
        <v>26</v>
      </c>
      <c r="B31" s="24" t="str">
        <f>'LISTA STARTOWA 09'!B48</f>
        <v>Marciniec Wojciech
Marciniec Marcin</v>
      </c>
      <c r="C31" s="39">
        <f>'LISTA STARTOWA 09'!C48</f>
        <v>38</v>
      </c>
      <c r="D31" s="39" t="str">
        <f>'LISTA STARTOWA 09'!D48</f>
        <v>K Fiat</v>
      </c>
      <c r="E31" s="25" t="str">
        <f>'LISTA STARTOWA 09'!E48</f>
        <v>FIAT</v>
      </c>
      <c r="F31" s="25" t="str">
        <f>'LISTA STARTOWA 09'!F48</f>
        <v>Fiat 126p</v>
      </c>
      <c r="G31" s="25" t="str">
        <f>'LISTA STARTOWA 09'!G48</f>
        <v>AK Stomil Dębica</v>
      </c>
      <c r="H31" s="194">
        <f>77.4+5</f>
        <v>82.4</v>
      </c>
      <c r="I31" s="26">
        <v>87.66</v>
      </c>
      <c r="J31" s="26">
        <v>80.36</v>
      </c>
      <c r="K31" s="26">
        <v>79.19</v>
      </c>
      <c r="L31" s="26">
        <v>88.37</v>
      </c>
      <c r="M31" s="26">
        <v>98.93</v>
      </c>
      <c r="N31" s="26">
        <v>81.78</v>
      </c>
      <c r="O31" s="26">
        <v>91.49</v>
      </c>
      <c r="P31" s="26">
        <v>82.39</v>
      </c>
      <c r="Q31" s="26"/>
      <c r="R31" s="35">
        <f>SUM(H31:Q31)</f>
        <v>772.57</v>
      </c>
      <c r="S31" s="211">
        <v>26</v>
      </c>
    </row>
    <row r="32" spans="1:20" ht="30">
      <c r="A32" s="210">
        <v>27</v>
      </c>
      <c r="B32" s="24" t="str">
        <f>'LISTA STARTOWA 09'!B14</f>
        <v>Reizer Grzegorz
Leja Sławomir</v>
      </c>
      <c r="C32" s="39">
        <f>'LISTA STARTOWA 09'!C14</f>
        <v>1</v>
      </c>
      <c r="D32" s="39" t="str">
        <f>'LISTA STARTOWA 09'!D14</f>
        <v>K 3</v>
      </c>
      <c r="E32" s="25" t="str">
        <f>'LISTA STARTOWA 09'!E14</f>
        <v>&lt;2000</v>
      </c>
      <c r="F32" s="25" t="str">
        <f>'LISTA STARTOWA 09'!F14</f>
        <v>Ford Fiesta ST</v>
      </c>
      <c r="G32" s="25" t="str">
        <f>'LISTA STARTOWA 09'!G14</f>
        <v>AK Rzeszowski</v>
      </c>
      <c r="H32" s="194">
        <f>78.13+5+5+5</f>
        <v>93.13</v>
      </c>
      <c r="I32" s="26">
        <v>92.03</v>
      </c>
      <c r="J32" s="26">
        <v>82.03</v>
      </c>
      <c r="K32" s="26">
        <v>81.239999999999995</v>
      </c>
      <c r="L32" s="26">
        <v>98.17</v>
      </c>
      <c r="M32" s="26">
        <v>80.010000000000005</v>
      </c>
      <c r="N32" s="26">
        <v>81.48</v>
      </c>
      <c r="O32" s="26">
        <v>88.63</v>
      </c>
      <c r="P32" s="26">
        <v>77.75</v>
      </c>
      <c r="Q32" s="26"/>
      <c r="R32" s="35">
        <f>SUM(H32:Q32)</f>
        <v>774.47</v>
      </c>
      <c r="S32" s="211">
        <v>27</v>
      </c>
    </row>
    <row r="33" spans="1:19" ht="30">
      <c r="A33" s="210">
        <v>28</v>
      </c>
      <c r="B33" s="24" t="str">
        <f>'LISTA STARTOWA 09'!B29</f>
        <v>Mądry Radosław
Dul Piotr</v>
      </c>
      <c r="C33" s="39">
        <f>'LISTA STARTOWA 09'!C29</f>
        <v>42</v>
      </c>
      <c r="D33" s="39" t="str">
        <f>'LISTA STARTOWA 09'!D29</f>
        <v>K 2</v>
      </c>
      <c r="E33" s="25" t="str">
        <f>'LISTA STARTOWA 09'!E29</f>
        <v>&lt;1600</v>
      </c>
      <c r="F33" s="25" t="str">
        <f>'LISTA STARTOWA 09'!F29</f>
        <v>Honda CIVIC</v>
      </c>
      <c r="G33" s="25" t="str">
        <f>'LISTA STARTOWA 09'!G29</f>
        <v>A Mielecki</v>
      </c>
      <c r="H33" s="194">
        <f>76.27+5</f>
        <v>81.27</v>
      </c>
      <c r="I33" s="26">
        <v>85.25</v>
      </c>
      <c r="J33" s="26">
        <v>75.959999999999994</v>
      </c>
      <c r="K33" s="194">
        <f>79.09+5</f>
        <v>84.09</v>
      </c>
      <c r="L33" s="26">
        <v>83.7</v>
      </c>
      <c r="M33" s="26">
        <v>76.8</v>
      </c>
      <c r="N33" s="26">
        <v>77.94</v>
      </c>
      <c r="O33" s="194">
        <f>126.76+5</f>
        <v>131.76</v>
      </c>
      <c r="P33" s="26">
        <v>77.989999999999995</v>
      </c>
      <c r="Q33" s="26"/>
      <c r="R33" s="35">
        <f>SUM(H33:Q33)</f>
        <v>774.76</v>
      </c>
      <c r="S33" s="211">
        <v>28</v>
      </c>
    </row>
    <row r="34" spans="1:19" ht="30">
      <c r="A34" s="210">
        <v>29</v>
      </c>
      <c r="B34" s="24" t="str">
        <f>'LISTA STARTOWA 09'!B36</f>
        <v>Szczepan Michał
Loch Rafał</v>
      </c>
      <c r="C34" s="39">
        <f>'LISTA STARTOWA 09'!C36</f>
        <v>2</v>
      </c>
      <c r="D34" s="39" t="str">
        <f>'LISTA STARTOWA 09'!D36</f>
        <v>K Fiat</v>
      </c>
      <c r="E34" s="25" t="str">
        <f>'LISTA STARTOWA 09'!E36</f>
        <v>FIAT</v>
      </c>
      <c r="F34" s="25" t="str">
        <f>'LISTA STARTOWA 09'!F36</f>
        <v>FFC.C.</v>
      </c>
      <c r="G34" s="25" t="str">
        <f>'LISTA STARTOWA 09'!G36</f>
        <v>niezrzeszony</v>
      </c>
      <c r="H34" s="194">
        <f>83.07+5+5</f>
        <v>93.07</v>
      </c>
      <c r="I34" s="26">
        <v>93.46</v>
      </c>
      <c r="J34" s="26">
        <v>79.56</v>
      </c>
      <c r="K34" s="26">
        <v>82.34</v>
      </c>
      <c r="L34" s="26">
        <v>91.45</v>
      </c>
      <c r="M34" s="26">
        <v>80.62</v>
      </c>
      <c r="N34" s="26">
        <v>82.74</v>
      </c>
      <c r="O34" s="26">
        <v>91.69</v>
      </c>
      <c r="P34" s="26">
        <v>81.83</v>
      </c>
      <c r="Q34" s="26"/>
      <c r="R34" s="35">
        <f>SUM(H34:Q34)</f>
        <v>776.7600000000001</v>
      </c>
      <c r="S34" s="211">
        <v>29</v>
      </c>
    </row>
    <row r="35" spans="1:19" ht="30">
      <c r="A35" s="210">
        <v>30</v>
      </c>
      <c r="B35" s="24" t="str">
        <f>'LISTA STARTOWA 09'!B41</f>
        <v>Dubanik Mariusz
Dubanik Grzegorz</v>
      </c>
      <c r="C35" s="39">
        <f>'LISTA STARTOWA 09'!C41</f>
        <v>11</v>
      </c>
      <c r="D35" s="39" t="str">
        <f>'LISTA STARTOWA 09'!D41</f>
        <v>K Fiat</v>
      </c>
      <c r="E35" s="25" t="str">
        <f>'LISTA STARTOWA 09'!E41</f>
        <v>FIAT</v>
      </c>
      <c r="F35" s="25" t="str">
        <f>'LISTA STARTOWA 09'!F41</f>
        <v>Fiat S.C.</v>
      </c>
      <c r="G35" s="25" t="str">
        <f>'LISTA STARTOWA 09'!G41</f>
        <v>AK Stomil Dębica</v>
      </c>
      <c r="H35" s="194">
        <f>83.72+10</f>
        <v>93.72</v>
      </c>
      <c r="I35" s="26">
        <v>91.49</v>
      </c>
      <c r="J35" s="26">
        <v>82.13</v>
      </c>
      <c r="K35" s="26">
        <v>81.11</v>
      </c>
      <c r="L35" s="26">
        <v>92.98</v>
      </c>
      <c r="M35" s="26">
        <v>81.66</v>
      </c>
      <c r="N35" s="26">
        <v>83.51</v>
      </c>
      <c r="O35" s="26">
        <v>93.25</v>
      </c>
      <c r="P35" s="26">
        <v>82.87</v>
      </c>
      <c r="Q35" s="26"/>
      <c r="R35" s="35">
        <f>SUM(H35:Q35)</f>
        <v>782.72</v>
      </c>
      <c r="S35" s="211">
        <v>30</v>
      </c>
    </row>
    <row r="36" spans="1:19" ht="30">
      <c r="A36" s="210">
        <v>31</v>
      </c>
      <c r="B36" s="24" t="str">
        <f>'LISTA STARTOWA 09'!B32</f>
        <v>Przybyło Krzysztof
Kisała Karolina</v>
      </c>
      <c r="C36" s="39">
        <f>'LISTA STARTOWA 09'!C32</f>
        <v>12</v>
      </c>
      <c r="D36" s="39" t="str">
        <f>'LISTA STARTOWA 09'!D32</f>
        <v>K 1</v>
      </c>
      <c r="E36" s="25" t="str">
        <f>'LISTA STARTOWA 09'!E32</f>
        <v>&lt;1400</v>
      </c>
      <c r="F36" s="25" t="str">
        <f>'LISTA STARTOWA 09'!F32</f>
        <v>Suzuki Swift</v>
      </c>
      <c r="G36" s="25" t="str">
        <f>'LISTA STARTOWA 09'!G32</f>
        <v>niezrzeszony</v>
      </c>
      <c r="H36" s="194">
        <f>77.7+10+5+5</f>
        <v>97.7</v>
      </c>
      <c r="I36" s="26">
        <v>90.61</v>
      </c>
      <c r="J36" s="26">
        <v>78.52</v>
      </c>
      <c r="K36" s="194">
        <f>79.87+5</f>
        <v>84.87</v>
      </c>
      <c r="L36" s="26">
        <v>89.15</v>
      </c>
      <c r="M36" s="26">
        <v>80.099999999999994</v>
      </c>
      <c r="N36" s="194">
        <f>80.8+10</f>
        <v>90.8</v>
      </c>
      <c r="O36" s="26">
        <v>89.33</v>
      </c>
      <c r="P36" s="26">
        <v>81.83</v>
      </c>
      <c r="Q36" s="26"/>
      <c r="R36" s="35">
        <f>SUM(H36:Q36)</f>
        <v>782.91000000000008</v>
      </c>
      <c r="S36" s="211">
        <v>31</v>
      </c>
    </row>
    <row r="37" spans="1:19" ht="30">
      <c r="A37" s="210">
        <v>32</v>
      </c>
      <c r="B37" s="24" t="str">
        <f>'LISTA STARTOWA 09'!B27</f>
        <v>Pastuła Piotr
Róg Dawid</v>
      </c>
      <c r="C37" s="39">
        <f>'LISTA STARTOWA 09'!C27</f>
        <v>40</v>
      </c>
      <c r="D37" s="39" t="str">
        <f>'LISTA STARTOWA 09'!D27</f>
        <v>K 2</v>
      </c>
      <c r="E37" s="25" t="str">
        <f>'LISTA STARTOWA 09'!E27</f>
        <v>&lt;1600</v>
      </c>
      <c r="F37" s="25" t="str">
        <f>'LISTA STARTOWA 09'!F27</f>
        <v>Citroen Saxo</v>
      </c>
      <c r="G37" s="25" t="str">
        <f>'LISTA STARTOWA 09'!G27</f>
        <v>niezrzeszony</v>
      </c>
      <c r="H37" s="194">
        <f>79.88+5</f>
        <v>84.88</v>
      </c>
      <c r="I37" s="26">
        <v>96.61</v>
      </c>
      <c r="J37" s="26">
        <v>79.37</v>
      </c>
      <c r="K37" s="26">
        <v>77.17</v>
      </c>
      <c r="L37" s="26">
        <v>89.6</v>
      </c>
      <c r="M37" s="26">
        <v>77.069999999999993</v>
      </c>
      <c r="N37" s="194">
        <f>78.08+5</f>
        <v>83.08</v>
      </c>
      <c r="O37" s="26">
        <v>87.11</v>
      </c>
      <c r="P37" s="26">
        <v>78.66</v>
      </c>
      <c r="Q37" s="26">
        <f>50</f>
        <v>50</v>
      </c>
      <c r="R37" s="35">
        <f>SUM(H37:Q37)</f>
        <v>803.55</v>
      </c>
      <c r="S37" s="211">
        <v>32</v>
      </c>
    </row>
    <row r="38" spans="1:19" ht="30">
      <c r="A38" s="210">
        <v>33</v>
      </c>
      <c r="B38" s="24" t="str">
        <f>'LISTA STARTOWA 09'!B19</f>
        <v>Kozłowicz Tomasz
Kopeć Marcin</v>
      </c>
      <c r="C38" s="39">
        <f>'LISTA STARTOWA 09'!C19</f>
        <v>35</v>
      </c>
      <c r="D38" s="39" t="str">
        <f>'LISTA STARTOWA 09'!D19</f>
        <v>K 3</v>
      </c>
      <c r="E38" s="25" t="str">
        <f>'LISTA STARTOWA 09'!E19</f>
        <v>&lt;2000</v>
      </c>
      <c r="F38" s="25" t="str">
        <f>'LISTA STARTOWA 09'!F19</f>
        <v>Subaru Impreza</v>
      </c>
      <c r="G38" s="25" t="str">
        <f>'LISTA STARTOWA 09'!G19</f>
        <v>AK Rzeszowski</v>
      </c>
      <c r="H38" s="194">
        <f>86.35+5</f>
        <v>91.35</v>
      </c>
      <c r="I38" s="26">
        <v>96.06</v>
      </c>
      <c r="J38" s="26">
        <v>82.7</v>
      </c>
      <c r="K38" s="26">
        <v>85.82</v>
      </c>
      <c r="L38" s="26">
        <v>96.23</v>
      </c>
      <c r="M38" s="26">
        <v>85.05</v>
      </c>
      <c r="N38" s="26">
        <v>88.02</v>
      </c>
      <c r="O38" s="26">
        <v>95.12</v>
      </c>
      <c r="P38" s="26">
        <v>84.29</v>
      </c>
      <c r="Q38" s="26"/>
      <c r="R38" s="35">
        <f>SUM(H38:Q38)</f>
        <v>804.64</v>
      </c>
      <c r="S38" s="211">
        <v>33</v>
      </c>
    </row>
    <row r="39" spans="1:19" ht="30">
      <c r="A39" s="210">
        <v>34</v>
      </c>
      <c r="B39" s="24" t="str">
        <f>'LISTA STARTOWA 09'!B45</f>
        <v>Kawa Grzegorz
Tylec Marcin</v>
      </c>
      <c r="C39" s="39">
        <f>'LISTA STARTOWA 09'!C45</f>
        <v>26</v>
      </c>
      <c r="D39" s="39" t="str">
        <f>'LISTA STARTOWA 09'!D45</f>
        <v>K Fiat</v>
      </c>
      <c r="E39" s="25" t="str">
        <f>'LISTA STARTOWA 09'!E45</f>
        <v>FIAT</v>
      </c>
      <c r="F39" s="25" t="str">
        <f>'LISTA STARTOWA 09'!F45</f>
        <v>FFS.C.</v>
      </c>
      <c r="G39" s="25" t="str">
        <f>'LISTA STARTOWA 09'!G45</f>
        <v>A Mielecki</v>
      </c>
      <c r="H39" s="26">
        <v>90.99</v>
      </c>
      <c r="I39" s="26">
        <v>98.97</v>
      </c>
      <c r="J39" s="26">
        <v>86.24</v>
      </c>
      <c r="K39" s="26">
        <v>87.35</v>
      </c>
      <c r="L39" s="26">
        <v>97.87</v>
      </c>
      <c r="M39" s="26">
        <v>86.92</v>
      </c>
      <c r="N39" s="26">
        <v>89.02</v>
      </c>
      <c r="O39" s="26">
        <v>99.94</v>
      </c>
      <c r="P39" s="26">
        <v>96.66</v>
      </c>
      <c r="Q39" s="26"/>
      <c r="R39" s="35">
        <f>SUM(H39:Q39)</f>
        <v>833.95999999999992</v>
      </c>
      <c r="S39" s="211">
        <v>34</v>
      </c>
    </row>
    <row r="40" spans="1:19" ht="30">
      <c r="A40" s="210">
        <v>35</v>
      </c>
      <c r="B40" s="24" t="str">
        <f>'LISTA STARTOWA 09'!B13</f>
        <v>Grzelak Marek
Letnioweski Dominik</v>
      </c>
      <c r="C40" s="39">
        <f>'LISTA STARTOWA 09'!C13</f>
        <v>43</v>
      </c>
      <c r="D40" s="39" t="str">
        <f>'LISTA STARTOWA 09'!D13</f>
        <v>K 4</v>
      </c>
      <c r="E40" s="25" t="str">
        <f>'LISTA STARTOWA 09'!E13</f>
        <v>&gt;2000</v>
      </c>
      <c r="F40" s="25" t="str">
        <f>'LISTA STARTOWA 09'!F13</f>
        <v>BMW 330</v>
      </c>
      <c r="G40" s="25" t="str">
        <f>'LISTA STARTOWA 09'!G13</f>
        <v>A Mielecki</v>
      </c>
      <c r="H40" s="194">
        <f>73.73+5</f>
        <v>78.73</v>
      </c>
      <c r="I40" s="26">
        <v>82.66</v>
      </c>
      <c r="J40" s="26">
        <v>73.349999999999994</v>
      </c>
      <c r="K40" s="194">
        <f>74.62+10</f>
        <v>84.62</v>
      </c>
      <c r="L40" s="26" t="s">
        <v>66</v>
      </c>
      <c r="M40" s="26" t="s">
        <v>66</v>
      </c>
      <c r="N40" s="26" t="s">
        <v>66</v>
      </c>
      <c r="O40" s="26" t="s">
        <v>66</v>
      </c>
      <c r="P40" s="26" t="s">
        <v>66</v>
      </c>
      <c r="Q40" s="26">
        <f>9*60</f>
        <v>540</v>
      </c>
      <c r="R40" s="26" t="s">
        <v>66</v>
      </c>
      <c r="S40" s="211" t="s">
        <v>66</v>
      </c>
    </row>
    <row r="41" spans="1:19" ht="30">
      <c r="A41" s="210">
        <v>36</v>
      </c>
      <c r="B41" s="24" t="str">
        <f>'LISTA STARTOWA 09'!B11</f>
        <v>Kudłacz Piotr
Szerszeń Rafał</v>
      </c>
      <c r="C41" s="39">
        <f>'LISTA STARTOWA 09'!C11</f>
        <v>34</v>
      </c>
      <c r="D41" s="39" t="str">
        <f>'LISTA STARTOWA 09'!D11</f>
        <v>K 4</v>
      </c>
      <c r="E41" s="25" t="str">
        <f>'LISTA STARTOWA 09'!E11</f>
        <v>&gt;2000</v>
      </c>
      <c r="F41" s="25" t="str">
        <f>'LISTA STARTOWA 09'!F11</f>
        <v>Mitsubishi Lancer</v>
      </c>
      <c r="G41" s="25" t="str">
        <f>'LISTA STARTOWA 09'!G11</f>
        <v>AK Stomil Dębica</v>
      </c>
      <c r="H41" s="26">
        <v>72.61</v>
      </c>
      <c r="I41" s="26">
        <v>80.62</v>
      </c>
      <c r="J41" s="26" t="s">
        <v>66</v>
      </c>
      <c r="K41" s="26" t="s">
        <v>66</v>
      </c>
      <c r="L41" s="26" t="s">
        <v>66</v>
      </c>
      <c r="M41" s="26" t="s">
        <v>66</v>
      </c>
      <c r="N41" s="26" t="s">
        <v>66</v>
      </c>
      <c r="O41" s="26" t="s">
        <v>66</v>
      </c>
      <c r="P41" s="26" t="s">
        <v>66</v>
      </c>
      <c r="Q41" s="26" t="s">
        <v>66</v>
      </c>
      <c r="R41" s="26" t="s">
        <v>66</v>
      </c>
      <c r="S41" s="211" t="s">
        <v>66</v>
      </c>
    </row>
    <row r="42" spans="1:19" ht="30">
      <c r="A42" s="210">
        <v>37</v>
      </c>
      <c r="B42" s="24" t="str">
        <f>'LISTA STARTOWA 09'!B28</f>
        <v>Piwnik Maciej
Wójcik Anna</v>
      </c>
      <c r="C42" s="39">
        <f>'LISTA STARTOWA 09'!C28</f>
        <v>41</v>
      </c>
      <c r="D42" s="39" t="str">
        <f>'LISTA STARTOWA 09'!D28</f>
        <v>K 2</v>
      </c>
      <c r="E42" s="25" t="str">
        <f>'LISTA STARTOWA 09'!E28</f>
        <v>&lt;1600</v>
      </c>
      <c r="F42" s="25" t="str">
        <f>'LISTA STARTOWA 09'!F28</f>
        <v>Honda CRX</v>
      </c>
      <c r="G42" s="25" t="str">
        <f>'LISTA STARTOWA 09'!G28</f>
        <v>AK Kielecki</v>
      </c>
      <c r="H42" s="194">
        <f>74.54+5</f>
        <v>79.540000000000006</v>
      </c>
      <c r="I42" s="26">
        <f>11*60+12.03</f>
        <v>672.03</v>
      </c>
      <c r="J42" s="26" t="s">
        <v>66</v>
      </c>
      <c r="K42" s="26" t="s">
        <v>66</v>
      </c>
      <c r="L42" s="26" t="s">
        <v>66</v>
      </c>
      <c r="M42" s="26" t="s">
        <v>66</v>
      </c>
      <c r="N42" s="26" t="s">
        <v>66</v>
      </c>
      <c r="O42" s="26" t="s">
        <v>66</v>
      </c>
      <c r="P42" s="26" t="s">
        <v>66</v>
      </c>
      <c r="Q42" s="26"/>
      <c r="R42" s="26" t="s">
        <v>66</v>
      </c>
      <c r="S42" s="211" t="s">
        <v>66</v>
      </c>
    </row>
    <row r="43" spans="1:19" ht="30">
      <c r="A43" s="210">
        <v>38</v>
      </c>
      <c r="B43" s="24" t="str">
        <f>'LISTA STARTOWA 09'!B42</f>
        <v>Szalacha Patryk
Banaś Maciej</v>
      </c>
      <c r="C43" s="39">
        <f>'LISTA STARTOWA 09'!C42</f>
        <v>15</v>
      </c>
      <c r="D43" s="39" t="str">
        <f>'LISTA STARTOWA 09'!D42</f>
        <v>K Fiat</v>
      </c>
      <c r="E43" s="25" t="str">
        <f>'LISTA STARTOWA 09'!E42</f>
        <v>FIAT</v>
      </c>
      <c r="F43" s="25" t="str">
        <f>'LISTA STARTOWA 09'!F42</f>
        <v>FF S.C.</v>
      </c>
      <c r="G43" s="25" t="str">
        <f>'LISTA STARTOWA 09'!G42</f>
        <v>niezrzeszony</v>
      </c>
      <c r="H43" s="194">
        <f>83.72+5+5</f>
        <v>93.72</v>
      </c>
      <c r="I43" s="26">
        <v>91.27</v>
      </c>
      <c r="J43" s="26">
        <v>79.760000000000005</v>
      </c>
      <c r="K43" s="26">
        <v>83.25</v>
      </c>
      <c r="L43" s="194">
        <f>112+5</f>
        <v>117</v>
      </c>
      <c r="M43" s="26">
        <v>82.1</v>
      </c>
      <c r="N43" s="26">
        <v>82.16</v>
      </c>
      <c r="O43" s="26" t="s">
        <v>66</v>
      </c>
      <c r="P43" s="26" t="s">
        <v>66</v>
      </c>
      <c r="Q43" s="26"/>
      <c r="R43" s="26" t="s">
        <v>66</v>
      </c>
      <c r="S43" s="211" t="s">
        <v>66</v>
      </c>
    </row>
    <row r="44" spans="1:19" ht="30">
      <c r="A44" s="210">
        <v>39</v>
      </c>
      <c r="B44" s="24" t="str">
        <f>'LISTA STARTOWA 09'!B43</f>
        <v>Bogusławski Aleksander
Rusinek Tomasz</v>
      </c>
      <c r="C44" s="39">
        <f>'LISTA STARTOWA 09'!C43</f>
        <v>16</v>
      </c>
      <c r="D44" s="39" t="str">
        <f>'LISTA STARTOWA 09'!D43</f>
        <v>K Fiat</v>
      </c>
      <c r="E44" s="25" t="str">
        <f>'LISTA STARTOWA 09'!E43</f>
        <v>FIAT</v>
      </c>
      <c r="F44" s="25" t="str">
        <f>'LISTA STARTOWA 09'!F43</f>
        <v>FF S.C.</v>
      </c>
      <c r="G44" s="25" t="str">
        <f>'LISTA STARTOWA 09'!G43</f>
        <v>AK Stalowa Wola</v>
      </c>
      <c r="H44" s="194">
        <f>77.41+5</f>
        <v>82.41</v>
      </c>
      <c r="I44" s="26">
        <v>86.34</v>
      </c>
      <c r="J44" s="26">
        <v>77.66</v>
      </c>
      <c r="K44" s="26" t="s">
        <v>66</v>
      </c>
      <c r="L44" s="26" t="s">
        <v>66</v>
      </c>
      <c r="M44" s="26" t="s">
        <v>66</v>
      </c>
      <c r="N44" s="26" t="s">
        <v>66</v>
      </c>
      <c r="O44" s="26" t="s">
        <v>66</v>
      </c>
      <c r="P44" s="26" t="s">
        <v>66</v>
      </c>
      <c r="Q44" s="26"/>
      <c r="R44" s="26" t="s">
        <v>66</v>
      </c>
      <c r="S44" s="211" t="s">
        <v>66</v>
      </c>
    </row>
    <row r="45" spans="1:19" ht="30.75" thickBot="1">
      <c r="A45" s="212">
        <v>40</v>
      </c>
      <c r="B45" s="37" t="str">
        <f>'LISTA STARTOWA 09'!B46</f>
        <v>Sidur Arkadiusz
Kokoszka Marek</v>
      </c>
      <c r="C45" s="90">
        <f>'LISTA STARTOWA 09'!C46</f>
        <v>29</v>
      </c>
      <c r="D45" s="90" t="str">
        <f>'LISTA STARTOWA 09'!D46</f>
        <v>K Fiat</v>
      </c>
      <c r="E45" s="91" t="str">
        <f>'LISTA STARTOWA 09'!E46</f>
        <v>FIAT</v>
      </c>
      <c r="F45" s="91" t="str">
        <f>'LISTA STARTOWA 09'!F46</f>
        <v>FF C.C.</v>
      </c>
      <c r="G45" s="91" t="str">
        <f>'LISTA STARTOWA 09'!G46</f>
        <v>A Mielecki</v>
      </c>
      <c r="H45" s="197">
        <f>81.54+5</f>
        <v>86.54</v>
      </c>
      <c r="I45" s="36" t="s">
        <v>66</v>
      </c>
      <c r="J45" s="36" t="s">
        <v>66</v>
      </c>
      <c r="K45" s="36" t="s">
        <v>66</v>
      </c>
      <c r="L45" s="36" t="s">
        <v>66</v>
      </c>
      <c r="M45" s="36" t="s">
        <v>66</v>
      </c>
      <c r="N45" s="36" t="s">
        <v>66</v>
      </c>
      <c r="O45" s="36" t="s">
        <v>66</v>
      </c>
      <c r="P45" s="36" t="s">
        <v>66</v>
      </c>
      <c r="Q45" s="36"/>
      <c r="R45" s="36" t="s">
        <v>66</v>
      </c>
      <c r="S45" s="213" t="s">
        <v>66</v>
      </c>
    </row>
    <row r="46" spans="1:19" ht="15">
      <c r="A46" s="8"/>
      <c r="B46" s="11"/>
      <c r="C46" s="48"/>
      <c r="D46" s="11"/>
      <c r="E46" s="154"/>
      <c r="F46" s="12"/>
      <c r="G46" s="5"/>
      <c r="H46" s="23" t="str">
        <f>IF(H49&lt;H47,"PRZE"," ")</f>
        <v xml:space="preserve"> </v>
      </c>
      <c r="I46" s="23" t="str">
        <f t="shared" ref="I46:J46" si="0">IF(I49&lt;I47,"PRZE"," ")</f>
        <v xml:space="preserve"> </v>
      </c>
      <c r="J46" s="23" t="str">
        <f t="shared" si="0"/>
        <v xml:space="preserve"> </v>
      </c>
      <c r="Q46" s="1"/>
    </row>
    <row r="47" spans="1:19" ht="15.75">
      <c r="B47" s="13"/>
      <c r="C47" s="14"/>
      <c r="D47" s="13"/>
      <c r="E47" s="14"/>
      <c r="F47" s="15"/>
      <c r="G47" s="40"/>
      <c r="H47" s="188"/>
      <c r="I47" s="188"/>
      <c r="J47" s="189"/>
      <c r="K47" s="188"/>
      <c r="L47" s="188"/>
      <c r="M47" s="186"/>
      <c r="N47" s="188"/>
      <c r="O47" s="188"/>
      <c r="P47" s="189"/>
      <c r="Q47" s="7"/>
      <c r="R47" s="64">
        <v>107.75</v>
      </c>
      <c r="S47" s="62" t="s">
        <v>23</v>
      </c>
    </row>
    <row r="48" spans="1:19" ht="16.5" thickBot="1">
      <c r="B48" s="57" t="s">
        <v>99</v>
      </c>
      <c r="C48" s="58"/>
      <c r="D48" s="41"/>
      <c r="E48" s="59" t="s">
        <v>149</v>
      </c>
      <c r="F48" s="60"/>
      <c r="G48" s="61" t="s">
        <v>100</v>
      </c>
      <c r="I48" s="192"/>
      <c r="J48" s="84"/>
      <c r="K48" s="14"/>
      <c r="L48" s="14"/>
      <c r="M48" s="7"/>
      <c r="N48" s="14"/>
      <c r="O48" s="192"/>
      <c r="P48" s="192"/>
      <c r="Q48" s="31"/>
      <c r="R48" s="94">
        <v>95.63</v>
      </c>
      <c r="S48" s="63" t="s">
        <v>24</v>
      </c>
    </row>
    <row r="49" spans="7:19" ht="18.75" thickBot="1">
      <c r="G49" s="6"/>
      <c r="H49" s="190"/>
      <c r="I49" s="190"/>
      <c r="J49" s="190"/>
      <c r="K49" s="190"/>
      <c r="L49" s="190"/>
      <c r="M49" s="187"/>
      <c r="N49" s="190"/>
      <c r="O49" s="190"/>
      <c r="P49" s="190"/>
      <c r="Q49" s="31"/>
      <c r="R49" s="159">
        <v>95.35</v>
      </c>
      <c r="S49" s="95" t="s">
        <v>101</v>
      </c>
    </row>
    <row r="50" spans="7:19">
      <c r="M50" s="191"/>
      <c r="Q50" s="31"/>
      <c r="R50" s="32"/>
    </row>
    <row r="51" spans="7:19">
      <c r="M51" s="191"/>
    </row>
    <row r="52" spans="7:19">
      <c r="G52" s="160" t="s">
        <v>54</v>
      </c>
      <c r="H52" s="34" t="e">
        <f>MIN(#REF!)*1.5</f>
        <v>#REF!</v>
      </c>
      <c r="I52" s="34" t="e">
        <f>MIN(#REF!)*1.5</f>
        <v>#REF!</v>
      </c>
      <c r="J52" s="34" t="e">
        <f>MIN(#REF!)*1.5</f>
        <v>#REF!</v>
      </c>
      <c r="K52" s="34" t="e">
        <f>MIN(#REF!)*1.5</f>
        <v>#REF!</v>
      </c>
      <c r="L52" s="34" t="e">
        <f>MIN(#REF!)*1.5</f>
        <v>#REF!</v>
      </c>
      <c r="M52" s="34" t="e">
        <f>MIN(#REF!)*1.5</f>
        <v>#REF!</v>
      </c>
      <c r="N52" s="34" t="e">
        <f>MIN(#REF!)*1.5</f>
        <v>#REF!</v>
      </c>
      <c r="O52" s="34" t="e">
        <f>MIN(#REF!)*1.5</f>
        <v>#REF!</v>
      </c>
      <c r="P52" s="34" t="e">
        <f>MIN(#REF!)*1.5</f>
        <v>#REF!</v>
      </c>
    </row>
    <row r="53" spans="7:19">
      <c r="G53" s="161"/>
      <c r="H53" s="31"/>
      <c r="I53" s="31"/>
      <c r="J53" s="31"/>
      <c r="K53" s="31"/>
      <c r="L53" s="31"/>
      <c r="M53" s="31"/>
      <c r="N53" s="31"/>
      <c r="O53" s="31"/>
      <c r="P53" s="31"/>
    </row>
    <row r="54" spans="7:19">
      <c r="G54" s="160" t="s">
        <v>53</v>
      </c>
      <c r="H54" s="34">
        <f>MIN(H6:H10)*1.5</f>
        <v>104.83500000000001</v>
      </c>
      <c r="I54" s="34">
        <f t="shared" ref="I54:P54" si="1">MIN(I6:I10)*1.5</f>
        <v>119.08500000000001</v>
      </c>
      <c r="J54" s="34">
        <f t="shared" si="1"/>
        <v>104.94</v>
      </c>
      <c r="K54" s="34">
        <f t="shared" si="1"/>
        <v>104.625</v>
      </c>
      <c r="L54" s="34">
        <f t="shared" si="1"/>
        <v>117.76500000000001</v>
      </c>
      <c r="M54" s="34">
        <f t="shared" si="1"/>
        <v>102.84</v>
      </c>
      <c r="N54" s="34">
        <f t="shared" si="1"/>
        <v>106.30500000000001</v>
      </c>
      <c r="O54" s="34">
        <f t="shared" si="1"/>
        <v>120.61499999999999</v>
      </c>
      <c r="P54" s="34">
        <f t="shared" si="1"/>
        <v>104.41499999999999</v>
      </c>
    </row>
    <row r="55" spans="7:19">
      <c r="G55" s="160"/>
      <c r="H55" s="31"/>
      <c r="I55" s="31"/>
      <c r="J55" s="31"/>
      <c r="K55" s="31"/>
      <c r="L55" s="31"/>
      <c r="M55" s="31"/>
      <c r="N55" s="31"/>
      <c r="O55" s="31"/>
      <c r="P55" s="31"/>
    </row>
    <row r="56" spans="7:19" ht="3.75" customHeight="1">
      <c r="G56" s="160" t="s">
        <v>52</v>
      </c>
      <c r="H56" s="34">
        <f>MIN(H11:H19)*1.5</f>
        <v>109.85999999999999</v>
      </c>
      <c r="I56" s="34">
        <f t="shared" ref="I56:P56" si="2">MIN(I11:I19)*1.5</f>
        <v>124.27499999999999</v>
      </c>
      <c r="J56" s="34">
        <f t="shared" si="2"/>
        <v>105.285</v>
      </c>
      <c r="K56" s="34">
        <f t="shared" si="2"/>
        <v>109.39500000000001</v>
      </c>
      <c r="L56" s="34">
        <f t="shared" si="2"/>
        <v>122.19</v>
      </c>
      <c r="M56" s="34">
        <f t="shared" si="2"/>
        <v>106.38</v>
      </c>
      <c r="N56" s="34">
        <f t="shared" si="2"/>
        <v>113.76</v>
      </c>
      <c r="O56" s="34">
        <f t="shared" si="2"/>
        <v>123.285</v>
      </c>
      <c r="P56" s="34">
        <f t="shared" si="2"/>
        <v>106.35000000000001</v>
      </c>
    </row>
    <row r="57" spans="7:19">
      <c r="G57" s="160"/>
      <c r="H57" s="33"/>
      <c r="I57" s="33"/>
      <c r="J57" s="33"/>
      <c r="K57" s="33"/>
      <c r="L57" s="33"/>
      <c r="M57" s="33"/>
      <c r="N57" s="33"/>
      <c r="O57" s="33"/>
      <c r="P57" s="33"/>
    </row>
    <row r="58" spans="7:19" ht="3.75" customHeight="1">
      <c r="G58" s="160" t="s">
        <v>51</v>
      </c>
      <c r="H58" s="34">
        <f>MIN(H20:H27)*1.5</f>
        <v>116.17500000000001</v>
      </c>
      <c r="I58" s="34">
        <f t="shared" ref="I58:P58" si="3">MIN(I20:I27)*1.5</f>
        <v>126.705</v>
      </c>
      <c r="J58" s="34">
        <f t="shared" si="3"/>
        <v>115.785</v>
      </c>
      <c r="K58" s="34">
        <f t="shared" si="3"/>
        <v>116.52000000000001</v>
      </c>
      <c r="L58" s="34">
        <f t="shared" si="3"/>
        <v>130.59</v>
      </c>
      <c r="M58" s="34">
        <f t="shared" si="3"/>
        <v>116.35499999999999</v>
      </c>
      <c r="N58" s="34">
        <f t="shared" si="3"/>
        <v>116.17500000000001</v>
      </c>
      <c r="O58" s="34">
        <f t="shared" si="3"/>
        <v>129.72</v>
      </c>
      <c r="P58" s="34">
        <f t="shared" si="3"/>
        <v>115.89000000000001</v>
      </c>
    </row>
    <row r="59" spans="7:19">
      <c r="G59" s="160"/>
    </row>
    <row r="60" spans="7:19" ht="3.75" customHeight="1">
      <c r="G60" s="160" t="s">
        <v>50</v>
      </c>
      <c r="H60" s="34">
        <f>MIN(H28:H32)*1.5</f>
        <v>119.47500000000001</v>
      </c>
      <c r="I60" s="34">
        <f t="shared" ref="I60:P60" si="4">MIN(I28:I32)*1.5</f>
        <v>131.49</v>
      </c>
      <c r="J60" s="34">
        <f t="shared" si="4"/>
        <v>118.22999999999999</v>
      </c>
      <c r="K60" s="34">
        <f t="shared" si="4"/>
        <v>118.785</v>
      </c>
      <c r="L60" s="34">
        <f t="shared" si="4"/>
        <v>132.55500000000001</v>
      </c>
      <c r="M60" s="34">
        <f t="shared" si="4"/>
        <v>118.83</v>
      </c>
      <c r="N60" s="34">
        <f t="shared" si="4"/>
        <v>120.795</v>
      </c>
      <c r="O60" s="34">
        <f t="shared" si="4"/>
        <v>132.93</v>
      </c>
      <c r="P60" s="34">
        <f t="shared" si="4"/>
        <v>116.625</v>
      </c>
    </row>
    <row r="61" spans="7:19">
      <c r="G61" s="161"/>
    </row>
    <row r="62" spans="7:19" ht="3.75" customHeight="1">
      <c r="G62" s="160" t="s">
        <v>96</v>
      </c>
      <c r="H62" s="34">
        <f>MIN(H33:H45)*1.5</f>
        <v>108.91499999999999</v>
      </c>
      <c r="I62" s="34">
        <f t="shared" ref="I62:P62" si="5">MIN(I33:I45)*1.5</f>
        <v>120.93</v>
      </c>
      <c r="J62" s="34">
        <f t="shared" si="5"/>
        <v>110.02499999999999</v>
      </c>
      <c r="K62" s="34">
        <f t="shared" si="5"/>
        <v>115.755</v>
      </c>
      <c r="L62" s="34">
        <f t="shared" si="5"/>
        <v>125.55000000000001</v>
      </c>
      <c r="M62" s="34">
        <f t="shared" si="5"/>
        <v>115.19999999999999</v>
      </c>
      <c r="N62" s="34">
        <f t="shared" si="5"/>
        <v>116.91</v>
      </c>
      <c r="O62" s="34">
        <f t="shared" si="5"/>
        <v>130.66499999999999</v>
      </c>
      <c r="P62" s="34">
        <f t="shared" si="5"/>
        <v>116.98499999999999</v>
      </c>
    </row>
    <row r="64" spans="7:19" ht="3.75" customHeight="1"/>
  </sheetData>
  <autoFilter ref="A5:S52">
    <filterColumn colId="3" showButton="0"/>
  </autoFilter>
  <sortState ref="B6:R45">
    <sortCondition ref="R6:R45"/>
  </sortState>
  <mergeCells count="7">
    <mergeCell ref="D5:E5"/>
    <mergeCell ref="A1:F1"/>
    <mergeCell ref="G1:P1"/>
    <mergeCell ref="A2:F2"/>
    <mergeCell ref="A3:F3"/>
    <mergeCell ref="G3:P3"/>
    <mergeCell ref="A4:F4"/>
  </mergeCells>
  <printOptions horizontalCentered="1"/>
  <pageMargins left="0.15748031496062992" right="0.19685039370078741" top="0.23622047244094491" bottom="0.15748031496062992" header="0.27559055118110237" footer="0.11811023622047245"/>
  <pageSetup paperSize="8" scale="99" fitToHeight="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LISTA STARTOWA 09</vt:lpstr>
      <vt:lpstr>wyniki oficjalne</vt:lpstr>
      <vt:lpstr>Po komasacji</vt:lpstr>
      <vt:lpstr>Generalka</vt:lpstr>
      <vt:lpstr>Generalka!Obszar_wydruku</vt:lpstr>
      <vt:lpstr>'LISTA STARTOWA 09'!Obszar_wydruku</vt:lpstr>
      <vt:lpstr>'wyniki oficjalne'!Obszar_wydruku</vt:lpstr>
    </vt:vector>
  </TitlesOfParts>
  <Company>zeto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mycha</dc:creator>
  <cp:lastModifiedBy>Automobilklub Mielec</cp:lastModifiedBy>
  <cp:lastPrinted>2016-09-11T16:38:21Z</cp:lastPrinted>
  <dcterms:created xsi:type="dcterms:W3CDTF">2004-04-21T12:18:29Z</dcterms:created>
  <dcterms:modified xsi:type="dcterms:W3CDTF">2016-09-11T17:00:46Z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-456863734</vt:i4>
  </property>
  <property fmtid="{D5CDD505-2E9C-101B-9397-08002B2CF9AE}" pid="3" name="_EmailSubject">
    <vt:lpwstr>Winiki KJS</vt:lpwstr>
  </property>
  <property fmtid="{D5CDD505-2E9C-101B-9397-08002B2CF9AE}" pid="4" name="_AuthorEmail">
    <vt:lpwstr>maciek.swieca@wp.pl</vt:lpwstr>
  </property>
  <property fmtid="{D5CDD505-2E9C-101B-9397-08002B2CF9AE}" pid="5" name="_AuthorEmailDisplayName">
    <vt:lpwstr>Maciek Świeca</vt:lpwstr>
  </property>
  <property fmtid="{D5CDD505-2E9C-101B-9397-08002B2CF9AE}" pid="6" name="_ReviewingToolsShownOnce">
    <vt:lpwstr/>
  </property>
</Properties>
</file>